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5985" windowHeight="6195" tabRatio="841" activeTab="0"/>
  </bookViews>
  <sheets>
    <sheet name="Assumptions" sheetId="1" r:id="rId1"/>
    <sheet name="Income Statement" sheetId="2" r:id="rId2"/>
    <sheet name="Balance Sheet" sheetId="3" r:id="rId3"/>
    <sheet name="Cash Flow Statement" sheetId="4" r:id="rId4"/>
  </sheets>
  <definedNames>
    <definedName name="_xlnm.Print_Titles" localSheetId="0">'Assumptions'!$1:$2</definedName>
    <definedName name="_xlnm.Print_Titles" localSheetId="2">'Balance Sheet'!$2:$3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<sst xmlns="http://schemas.openxmlformats.org/spreadsheetml/2006/main" count="176" uniqueCount="94">
  <si>
    <t>Interest Expense</t>
  </si>
  <si>
    <t>Inventory</t>
  </si>
  <si>
    <t>Current Assets</t>
  </si>
  <si>
    <t>Plant &amp; Equip.</t>
  </si>
  <si>
    <t>Total Assets</t>
  </si>
  <si>
    <t>Accounts Payable</t>
  </si>
  <si>
    <t>Long Term Debt</t>
  </si>
  <si>
    <t>Total Liabilities</t>
  </si>
  <si>
    <t>Retained earnings</t>
  </si>
  <si>
    <t>Net Revenues</t>
  </si>
  <si>
    <t>COGS</t>
  </si>
  <si>
    <t>R&amp;D</t>
  </si>
  <si>
    <t>Trading Assets</t>
  </si>
  <si>
    <t>Deferred Tax Assets</t>
  </si>
  <si>
    <t>Other Current Assets</t>
  </si>
  <si>
    <t>A/R</t>
  </si>
  <si>
    <t>Doubtful Accounts</t>
  </si>
  <si>
    <t>Net A/R</t>
  </si>
  <si>
    <t>Construction in Progress</t>
  </si>
  <si>
    <t>Land &amp; Buildings</t>
  </si>
  <si>
    <t>Less Accumulated Depr</t>
  </si>
  <si>
    <t xml:space="preserve">Net PP&amp;E </t>
  </si>
  <si>
    <t>Long Term Investments</t>
  </si>
  <si>
    <t>Other Assets</t>
  </si>
  <si>
    <t>Liabilities</t>
  </si>
  <si>
    <t>Long-Term Debt (Current Portion)</t>
  </si>
  <si>
    <t>Accrued Comp &amp; Benefits</t>
  </si>
  <si>
    <t>Deferred Income on Shipments to Distributors</t>
  </si>
  <si>
    <t>Accrued Advertising</t>
  </si>
  <si>
    <t>Other Accrued Liabilities</t>
  </si>
  <si>
    <t>Income Taxes Payable</t>
  </si>
  <si>
    <t>Total Current Liabilities</t>
  </si>
  <si>
    <t>Deferred Tax Liabilities</t>
  </si>
  <si>
    <t>Put Warrants</t>
  </si>
  <si>
    <t>Stockholders Equity</t>
  </si>
  <si>
    <t>Preferred Stock ($.001 par value, 50 shares authorized; none issued)</t>
  </si>
  <si>
    <t>Preferred Shares Issued &amp; Outstanding</t>
  </si>
  <si>
    <t>Common Shares Issued &amp; Outstanding</t>
  </si>
  <si>
    <t>Common Stock ($.001 par value, 4,500 shares authorized)</t>
  </si>
  <si>
    <t>APIC</t>
  </si>
  <si>
    <t>Accumulated Other Comprehensive Income</t>
  </si>
  <si>
    <t>Total Stockholders Equity</t>
  </si>
  <si>
    <t>Operating Costs &amp; Expenses</t>
  </si>
  <si>
    <t>Interest Income &amp; Other, net</t>
  </si>
  <si>
    <t>Provision for Taxes</t>
  </si>
  <si>
    <t>Net Income from Ops</t>
  </si>
  <si>
    <t>Beginning Cash</t>
  </si>
  <si>
    <t>Ending Cash Balance</t>
  </si>
  <si>
    <t>Cash &amp; Cash Equiv</t>
  </si>
  <si>
    <t>NET REVENUES</t>
  </si>
  <si>
    <t>OPERATING INCOME</t>
  </si>
  <si>
    <t>INCOME BEFORE TAXES</t>
  </si>
  <si>
    <t>NET INCOME</t>
  </si>
  <si>
    <t>Marketing, SG&amp;A</t>
  </si>
  <si>
    <t>(all % in % of total assets unless stated otherwise0</t>
  </si>
  <si>
    <t>CapEx</t>
  </si>
  <si>
    <t>Basis</t>
  </si>
  <si>
    <t>% Revenues</t>
  </si>
  <si>
    <t>Calculation based on the interest rates below</t>
  </si>
  <si>
    <t>% PBT</t>
  </si>
  <si>
    <t>% of cash assets</t>
  </si>
  <si>
    <t>change</t>
  </si>
  <si>
    <t>% A/R</t>
  </si>
  <si>
    <t>% COGS</t>
  </si>
  <si>
    <t>% PP&amp;E</t>
  </si>
  <si>
    <t>Net PP&amp;E</t>
  </si>
  <si>
    <t>Assets</t>
  </si>
  <si>
    <t>%COGS</t>
  </si>
  <si>
    <t>%PBT</t>
  </si>
  <si>
    <t># Common Shares Issued &amp; Outstanding</t>
  </si>
  <si>
    <t>Cash Increase/Decrease</t>
  </si>
  <si>
    <t>growth rate</t>
  </si>
  <si>
    <t>plug (Total Liabilities &amp; Equity minus other assets)</t>
  </si>
  <si>
    <t>plug (Net PP&amp;E minus other PP&amp;E items)</t>
  </si>
  <si>
    <t>Interest Rate (10 yr T-Bill)</t>
  </si>
  <si>
    <t>Interest Rate (3 mo LIBOR)</t>
  </si>
  <si>
    <t>Short-Term Investments</t>
  </si>
  <si>
    <t>Machinery &amp; Equipment</t>
  </si>
  <si>
    <t>Short-Term Debt</t>
  </si>
  <si>
    <t>Preferred Stock ($0.001 par value, 50 shares authorized; none issued)</t>
  </si>
  <si>
    <t>Common Stock ($0.001 par value, 4,500 shares authorized)</t>
  </si>
  <si>
    <t>Machinery &amp; Equipt</t>
  </si>
  <si>
    <t>Total Liabilities and Equity</t>
  </si>
  <si>
    <t>Net Cash from Investing</t>
  </si>
  <si>
    <t>Total Cash Flow from Ops</t>
  </si>
  <si>
    <t>Long-Term Debt</t>
  </si>
  <si>
    <t>Accumulated Other Compr. Income</t>
  </si>
  <si>
    <t>Repurchase of Common Stock</t>
  </si>
  <si>
    <t>Dividends</t>
  </si>
  <si>
    <t>Net Cash from Financing</t>
  </si>
  <si>
    <t>Depreciation</t>
  </si>
  <si>
    <t>change in:</t>
  </si>
  <si>
    <t>INCOME STATEMENT</t>
  </si>
  <si>
    <t>BALANCE SHEET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</si>
</sst>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_(&quot;$&quot;* #,##0.000_);_(&quot;$&quot;* \(#,##0.000\);_(&quot;$&quot;* &quot;-&quot;??_);_(@_)"/>
    <numFmt numFmtId="170" formatCode="_(* #,##0.000_);_(* \(#,##0.00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_(* #,##0.000_);_(* \(#,##0.000\);_(* &quot;-&quot;???_);_(@_)"/>
    <numFmt numFmtId="174" formatCode="0.0%"/>
    <numFmt numFmtId="175" formatCode="0.000%"/>
    <numFmt numFmtId="176" formatCode="0.0000%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7" fontId="5" fillId="0" borderId="0" xfId="15" applyNumberFormat="1" applyFont="1" applyAlignment="1">
      <alignment/>
    </xf>
    <xf numFmtId="167" fontId="4" fillId="0" borderId="0" xfId="15" applyNumberFormat="1" applyFont="1" applyAlignment="1">
      <alignment/>
    </xf>
    <xf numFmtId="0" fontId="4" fillId="0" borderId="0" xfId="15" applyNumberFormat="1" applyFont="1" applyAlignment="1">
      <alignment/>
    </xf>
    <xf numFmtId="167" fontId="5" fillId="0" borderId="0" xfId="15" applyNumberFormat="1" applyFont="1" applyFill="1" applyAlignment="1">
      <alignment/>
    </xf>
    <xf numFmtId="167" fontId="5" fillId="0" borderId="1" xfId="15" applyNumberFormat="1" applyFont="1" applyBorder="1" applyAlignment="1">
      <alignment/>
    </xf>
    <xf numFmtId="167" fontId="5" fillId="0" borderId="1" xfId="15" applyNumberFormat="1" applyFont="1" applyFill="1" applyBorder="1" applyAlignment="1">
      <alignment/>
    </xf>
    <xf numFmtId="167" fontId="4" fillId="0" borderId="0" xfId="15" applyNumberFormat="1" applyFont="1" applyAlignment="1">
      <alignment wrapText="1"/>
    </xf>
    <xf numFmtId="167" fontId="5" fillId="0" borderId="0" xfId="15" applyNumberFormat="1" applyFont="1" applyAlignment="1">
      <alignment wrapText="1"/>
    </xf>
    <xf numFmtId="167" fontId="5" fillId="0" borderId="1" xfId="15" applyNumberFormat="1" applyFont="1" applyBorder="1" applyAlignment="1">
      <alignment wrapText="1"/>
    </xf>
    <xf numFmtId="167" fontId="5" fillId="0" borderId="0" xfId="15" applyNumberFormat="1" applyFont="1" applyBorder="1" applyAlignment="1">
      <alignment/>
    </xf>
    <xf numFmtId="167" fontId="5" fillId="0" borderId="0" xfId="15" applyNumberFormat="1" applyFont="1" applyBorder="1" applyAlignment="1">
      <alignment wrapText="1"/>
    </xf>
    <xf numFmtId="9" fontId="0" fillId="0" borderId="0" xfId="0" applyNumberFormat="1" applyAlignment="1">
      <alignment/>
    </xf>
    <xf numFmtId="9" fontId="0" fillId="0" borderId="0" xfId="19" applyAlignment="1">
      <alignment/>
    </xf>
    <xf numFmtId="167" fontId="5" fillId="0" borderId="2" xfId="15" applyNumberFormat="1" applyFont="1" applyBorder="1" applyAlignment="1">
      <alignment wrapText="1"/>
    </xf>
    <xf numFmtId="174" fontId="0" fillId="0" borderId="0" xfId="19" applyNumberFormat="1" applyAlignment="1">
      <alignment/>
    </xf>
    <xf numFmtId="10" fontId="0" fillId="0" borderId="0" xfId="0" applyNumberFormat="1" applyAlignment="1">
      <alignment/>
    </xf>
    <xf numFmtId="9" fontId="5" fillId="0" borderId="0" xfId="19" applyFont="1" applyAlignment="1">
      <alignment/>
    </xf>
    <xf numFmtId="174" fontId="0" fillId="0" borderId="0" xfId="0" applyNumberFormat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Alignment="1">
      <alignment/>
    </xf>
    <xf numFmtId="167" fontId="5" fillId="0" borderId="0" xfId="15" applyNumberFormat="1" applyFon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/>
    </xf>
    <xf numFmtId="9" fontId="0" fillId="0" borderId="0" xfId="0" applyNumberFormat="1" applyBorder="1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9" fontId="5" fillId="0" borderId="0" xfId="19" applyFont="1" applyBorder="1" applyAlignment="1">
      <alignment/>
    </xf>
    <xf numFmtId="167" fontId="6" fillId="0" borderId="0" xfId="15" applyNumberFormat="1" applyFont="1" applyAlignment="1">
      <alignment/>
    </xf>
    <xf numFmtId="167" fontId="6" fillId="0" borderId="0" xfId="15" applyNumberFormat="1" applyFont="1" applyFill="1" applyAlignment="1">
      <alignment/>
    </xf>
    <xf numFmtId="167" fontId="4" fillId="0" borderId="3" xfId="15" applyNumberFormat="1" applyFont="1" applyBorder="1" applyAlignment="1">
      <alignment wrapText="1"/>
    </xf>
    <xf numFmtId="3" fontId="4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3" fontId="4" fillId="0" borderId="2" xfId="15" applyNumberFormat="1" applyFont="1" applyBorder="1" applyAlignment="1">
      <alignment/>
    </xf>
    <xf numFmtId="3" fontId="5" fillId="0" borderId="2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5" fillId="0" borderId="0" xfId="15" applyNumberFormat="1" applyFont="1" applyFill="1" applyAlignment="1">
      <alignment/>
    </xf>
    <xf numFmtId="3" fontId="5" fillId="0" borderId="1" xfId="15" applyNumberFormat="1" applyFont="1" applyFill="1" applyBorder="1" applyAlignment="1">
      <alignment/>
    </xf>
    <xf numFmtId="3" fontId="5" fillId="0" borderId="0" xfId="15" applyNumberFormat="1" applyFont="1" applyBorder="1" applyAlignment="1">
      <alignment/>
    </xf>
    <xf numFmtId="3" fontId="5" fillId="0" borderId="1" xfId="15" applyNumberFormat="1" applyFont="1" applyBorder="1" applyAlignment="1">
      <alignment/>
    </xf>
    <xf numFmtId="3" fontId="6" fillId="0" borderId="0" xfId="15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15" applyNumberFormat="1" applyFont="1" applyAlignment="1">
      <alignment wrapText="1"/>
    </xf>
    <xf numFmtId="49" fontId="5" fillId="0" borderId="0" xfId="15" applyNumberFormat="1" applyFont="1" applyAlignment="1">
      <alignment/>
    </xf>
    <xf numFmtId="49" fontId="5" fillId="0" borderId="0" xfId="15" applyNumberFormat="1" applyFont="1" applyBorder="1" applyAlignment="1">
      <alignment wrapText="1"/>
    </xf>
    <xf numFmtId="49" fontId="0" fillId="0" borderId="0" xfId="0" applyNumberFormat="1" applyBorder="1" applyAlignment="1">
      <alignment/>
    </xf>
    <xf numFmtId="49" fontId="4" fillId="0" borderId="0" xfId="15" applyNumberFormat="1" applyFont="1" applyAlignment="1">
      <alignment wrapText="1"/>
    </xf>
    <xf numFmtId="49" fontId="5" fillId="0" borderId="0" xfId="15" applyNumberFormat="1" applyFont="1" applyAlignment="1">
      <alignment horizontal="left" wrapText="1"/>
    </xf>
    <xf numFmtId="49" fontId="7" fillId="0" borderId="0" xfId="0" applyNumberFormat="1" applyFont="1" applyAlignment="1">
      <alignment/>
    </xf>
    <xf numFmtId="49" fontId="8" fillId="0" borderId="0" xfId="15" applyNumberFormat="1" applyFont="1" applyAlignment="1">
      <alignment wrapText="1"/>
    </xf>
    <xf numFmtId="49" fontId="8" fillId="0" borderId="0" xfId="15" applyNumberFormat="1" applyFont="1" applyAlignment="1">
      <alignment/>
    </xf>
    <xf numFmtId="49" fontId="5" fillId="0" borderId="2" xfId="15" applyNumberFormat="1" applyFont="1" applyBorder="1" applyAlignment="1">
      <alignment wrapText="1"/>
    </xf>
    <xf numFmtId="49" fontId="5" fillId="0" borderId="1" xfId="15" applyNumberFormat="1" applyFont="1" applyBorder="1" applyAlignment="1">
      <alignment wrapText="1"/>
    </xf>
    <xf numFmtId="49" fontId="5" fillId="0" borderId="0" xfId="15" applyNumberFormat="1" applyFont="1" applyAlignment="1">
      <alignment horizontal="left" wrapText="1" indent="1"/>
    </xf>
    <xf numFmtId="49" fontId="4" fillId="0" borderId="3" xfId="15" applyNumberFormat="1" applyFont="1" applyBorder="1" applyAlignment="1">
      <alignment wrapText="1"/>
    </xf>
    <xf numFmtId="167" fontId="4" fillId="0" borderId="3" xfId="15" applyNumberFormat="1" applyFont="1" applyBorder="1" applyAlignment="1">
      <alignment/>
    </xf>
    <xf numFmtId="49" fontId="4" fillId="0" borderId="2" xfId="15" applyNumberFormat="1" applyFont="1" applyBorder="1" applyAlignment="1">
      <alignment wrapText="1"/>
    </xf>
    <xf numFmtId="167" fontId="4" fillId="0" borderId="2" xfId="15" applyNumberFormat="1" applyFont="1" applyBorder="1" applyAlignment="1">
      <alignment/>
    </xf>
    <xf numFmtId="49" fontId="5" fillId="0" borderId="1" xfId="15" applyNumberFormat="1" applyFont="1" applyBorder="1" applyAlignment="1">
      <alignment/>
    </xf>
    <xf numFmtId="0" fontId="4" fillId="0" borderId="1" xfId="15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15" applyNumberFormat="1" applyFont="1" applyBorder="1" applyAlignment="1">
      <alignment/>
    </xf>
    <xf numFmtId="49" fontId="5" fillId="0" borderId="0" xfId="15" applyNumberFormat="1" applyFont="1" applyBorder="1" applyAlignment="1">
      <alignment/>
    </xf>
    <xf numFmtId="49" fontId="6" fillId="0" borderId="0" xfId="15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5" zoomScaleNormal="75" workbookViewId="0" topLeftCell="A1">
      <pane ySplit="1" topLeftCell="BM2" activePane="bottomLeft" state="frozen"/>
      <selection pane="topLeft" activeCell="I20" sqref="I20"/>
      <selection pane="bottomLeft" activeCell="A3" sqref="A3"/>
    </sheetView>
  </sheetViews>
  <sheetFormatPr defaultColWidth="9.140625" defaultRowHeight="12.75"/>
  <cols>
    <col min="1" max="1" width="25.140625" style="42" customWidth="1"/>
    <col min="2" max="2" width="15.00390625" style="0" customWidth="1"/>
    <col min="3" max="6" width="0" style="0" hidden="1" customWidth="1"/>
    <col min="7" max="12" width="8.28125" style="0" customWidth="1"/>
  </cols>
  <sheetData>
    <row r="1" spans="1:12" ht="12.75">
      <c r="A1" s="62"/>
      <c r="B1" s="63" t="s">
        <v>56</v>
      </c>
      <c r="C1" s="60">
        <v>1995</v>
      </c>
      <c r="D1" s="60">
        <v>1996</v>
      </c>
      <c r="E1" s="60">
        <v>1997</v>
      </c>
      <c r="F1" s="60">
        <v>1998</v>
      </c>
      <c r="G1" s="60">
        <v>1999</v>
      </c>
      <c r="H1" s="60">
        <v>2000</v>
      </c>
      <c r="I1" s="60">
        <v>2001</v>
      </c>
      <c r="J1" s="60">
        <v>2002</v>
      </c>
      <c r="K1" s="60">
        <v>2003</v>
      </c>
      <c r="L1" s="60">
        <v>2004</v>
      </c>
    </row>
    <row r="2" spans="1:12" ht="12.75">
      <c r="A2" s="46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1" ht="12.75">
      <c r="A3" s="61" t="s">
        <v>92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5" spans="1:12" ht="12.75">
      <c r="A5" s="43" t="s">
        <v>9</v>
      </c>
      <c r="B5" s="8" t="s">
        <v>71</v>
      </c>
      <c r="C5" s="12">
        <v>0.41</v>
      </c>
      <c r="D5" s="13">
        <f>'Income Statement'!C4/'Income Statement'!B4-1</f>
        <v>0.2866930008640909</v>
      </c>
      <c r="E5" s="13">
        <f>'Income Statement'!D4/'Income Statement'!C4-1</f>
        <v>0.20257111334964262</v>
      </c>
      <c r="F5" s="13">
        <f>'Income Statement'!E4/'Income Statement'!D4-1</f>
        <v>0.047985640207419245</v>
      </c>
      <c r="G5" s="12">
        <v>0.14</v>
      </c>
      <c r="H5" s="12">
        <v>0.12</v>
      </c>
      <c r="I5" s="12">
        <v>0.08</v>
      </c>
      <c r="J5" s="12">
        <v>0.1</v>
      </c>
      <c r="K5" s="12">
        <v>0.12</v>
      </c>
      <c r="L5" s="12">
        <v>0.12</v>
      </c>
    </row>
    <row r="6" spans="1:6" ht="12.75">
      <c r="A6" s="43"/>
      <c r="B6" s="8"/>
      <c r="C6" s="12"/>
      <c r="D6" s="13"/>
      <c r="E6" s="13"/>
      <c r="F6" s="13"/>
    </row>
    <row r="7" spans="1:12" ht="12.75">
      <c r="A7" s="43" t="s">
        <v>10</v>
      </c>
      <c r="B7" s="8" t="s">
        <v>57</v>
      </c>
      <c r="C7" s="13">
        <f>'Income Statement'!B6/'Income Statement'!B$4</f>
        <v>0.48210097518824835</v>
      </c>
      <c r="D7" s="13">
        <f>'Income Statement'!C6/'Income Statement'!C$4</f>
        <v>0.4395836331366624</v>
      </c>
      <c r="E7" s="13">
        <f>'Income Statement'!D6/'Income Statement'!D$4</f>
        <v>0.39668927004387716</v>
      </c>
      <c r="F7" s="13">
        <f>'Income Statement'!E6/'Income Statement'!E$4</f>
        <v>0.462223575533818</v>
      </c>
      <c r="G7" s="12">
        <v>0.42</v>
      </c>
      <c r="H7" s="12">
        <v>0.42</v>
      </c>
      <c r="I7" s="12">
        <v>0.44</v>
      </c>
      <c r="J7" s="12">
        <v>0.43</v>
      </c>
      <c r="K7" s="12">
        <v>0.4</v>
      </c>
      <c r="L7" s="12">
        <v>0.39</v>
      </c>
    </row>
    <row r="8" spans="1:12" ht="12.75">
      <c r="A8" s="43" t="s">
        <v>11</v>
      </c>
      <c r="B8" s="8" t="s">
        <v>57</v>
      </c>
      <c r="C8" s="13">
        <f>'Income Statement'!B7/'Income Statement'!B$4</f>
        <v>0.07999012467596593</v>
      </c>
      <c r="D8" s="13">
        <f>'Income Statement'!C7/'Income Statement'!C$4</f>
        <v>0.08672710701779633</v>
      </c>
      <c r="E8" s="13">
        <f>'Income Statement'!D7/'Income Statement'!D$4</f>
        <v>0.09361786996410051</v>
      </c>
      <c r="F8" s="13">
        <f>'Income Statement'!E7/'Income Statement'!E$4</f>
        <v>0.09549727857496289</v>
      </c>
      <c r="G8" s="12">
        <v>0.1</v>
      </c>
      <c r="H8" s="12">
        <v>0.1</v>
      </c>
      <c r="I8" s="12">
        <f>H8</f>
        <v>0.1</v>
      </c>
      <c r="J8" s="12">
        <f>I8</f>
        <v>0.1</v>
      </c>
      <c r="K8" s="12">
        <f>J8</f>
        <v>0.1</v>
      </c>
      <c r="L8" s="12">
        <f>K8</f>
        <v>0.1</v>
      </c>
    </row>
    <row r="9" spans="1:12" ht="12.75">
      <c r="A9" s="43" t="s">
        <v>53</v>
      </c>
      <c r="B9" s="8" t="s">
        <v>57</v>
      </c>
      <c r="C9" s="13">
        <f>'Income Statement'!B8/'Income Statement'!B$4</f>
        <v>0.1137513887174423</v>
      </c>
      <c r="D9" s="13">
        <f>'Income Statement'!C8/'Income Statement'!C$4</f>
        <v>0.11138293279608577</v>
      </c>
      <c r="E9" s="13">
        <f>'Income Statement'!D8/'Income Statement'!D$4</f>
        <v>0.11531711208615876</v>
      </c>
      <c r="F9" s="13">
        <f>'Income Statement'!E8/'Income Statement'!E$4</f>
        <v>0.12335858105279184</v>
      </c>
      <c r="G9" s="12">
        <v>0.13</v>
      </c>
      <c r="H9" s="12">
        <v>0.15</v>
      </c>
      <c r="I9" s="12">
        <v>0.14</v>
      </c>
      <c r="J9" s="12">
        <v>0.14</v>
      </c>
      <c r="K9" s="12">
        <v>0.13</v>
      </c>
      <c r="L9" s="12">
        <v>0.13</v>
      </c>
    </row>
    <row r="10" spans="1:6" s="24" customFormat="1" ht="12.75">
      <c r="A10" s="44" t="s">
        <v>0</v>
      </c>
      <c r="B10" s="22" t="s">
        <v>58</v>
      </c>
      <c r="C10" s="23">
        <f>'Income Statement'!B12/'Income Statement'!B$4</f>
        <v>-0.0017899024811751636</v>
      </c>
      <c r="D10" s="23">
        <f>'Income Statement'!C12/'Income Statement'!C$4</f>
        <v>-0.0011992133160646616</v>
      </c>
      <c r="E10" s="23">
        <f>'Income Statement'!D12/'Income Statement'!D$4</f>
        <v>-0.0010769844435580375</v>
      </c>
      <c r="F10" s="23">
        <f>'Income Statement'!E12/'Income Statement'!E$4</f>
        <v>-0.0012941042134510714</v>
      </c>
    </row>
    <row r="11" spans="1:12" ht="12.75">
      <c r="A11" s="45" t="s">
        <v>43</v>
      </c>
      <c r="B11" s="11" t="s">
        <v>60</v>
      </c>
      <c r="C11" s="13">
        <f>'Income Statement'!B13/SUM('Balance Sheet'!B6:B8)</f>
        <v>0.16883645240032547</v>
      </c>
      <c r="D11" s="13">
        <f>'Income Statement'!C13/SUM('Balance Sheet'!C6:C8)</f>
        <v>0.050788091068301226</v>
      </c>
      <c r="E11" s="13">
        <f>'Income Statement'!D13/SUM('Balance Sheet'!D6:D8)</f>
        <v>0.08048755918202881</v>
      </c>
      <c r="F11" s="13">
        <f>'Income Statement'!E13/SUM('Balance Sheet'!E6:E8)</f>
        <v>0.1038552321007081</v>
      </c>
      <c r="G11" s="12">
        <f>AVERAGE(C11:F11)</f>
        <v>0.1009918336878409</v>
      </c>
      <c r="H11" s="12">
        <f aca="true" t="shared" si="0" ref="H11:L12">G11</f>
        <v>0.1009918336878409</v>
      </c>
      <c r="I11" s="12">
        <f t="shared" si="0"/>
        <v>0.1009918336878409</v>
      </c>
      <c r="J11" s="12">
        <f t="shared" si="0"/>
        <v>0.1009918336878409</v>
      </c>
      <c r="K11" s="12">
        <f t="shared" si="0"/>
        <v>0.1009918336878409</v>
      </c>
      <c r="L11" s="12">
        <f t="shared" si="0"/>
        <v>0.1009918336878409</v>
      </c>
    </row>
    <row r="12" spans="1:12" ht="12.75">
      <c r="A12" s="45" t="s">
        <v>44</v>
      </c>
      <c r="B12" s="11" t="s">
        <v>59</v>
      </c>
      <c r="C12" s="13">
        <f>'Income Statement'!B15/'Income Statement'!B14</f>
        <v>0.36750620787513305</v>
      </c>
      <c r="D12" s="13">
        <f>'Income Statement'!C15/'Income Statement'!C14</f>
        <v>0.3500126039828586</v>
      </c>
      <c r="E12" s="13">
        <f>'Income Statement'!D15/'Income Statement'!D14</f>
        <v>0.3484379397692091</v>
      </c>
      <c r="F12" s="13">
        <f>'Income Statement'!E15/'Income Statement'!E14</f>
        <v>0.3358870526430995</v>
      </c>
      <c r="G12" s="12">
        <v>0.35</v>
      </c>
      <c r="H12" s="12">
        <f t="shared" si="0"/>
        <v>0.35</v>
      </c>
      <c r="I12" s="12">
        <f t="shared" si="0"/>
        <v>0.35</v>
      </c>
      <c r="J12" s="12">
        <f t="shared" si="0"/>
        <v>0.35</v>
      </c>
      <c r="K12" s="12">
        <f t="shared" si="0"/>
        <v>0.35</v>
      </c>
      <c r="L12" s="12">
        <f t="shared" si="0"/>
        <v>0.35</v>
      </c>
    </row>
    <row r="13" ht="12.75">
      <c r="A13" s="46"/>
    </row>
    <row r="14" spans="1:12" ht="12.75">
      <c r="A14" s="42" t="s">
        <v>74</v>
      </c>
      <c r="C14" s="16">
        <v>0.0543</v>
      </c>
      <c r="D14" s="16">
        <v>0.0524</v>
      </c>
      <c r="E14" s="16">
        <v>0.0508</v>
      </c>
      <c r="F14" s="16">
        <v>0.0474</v>
      </c>
      <c r="G14" s="16">
        <v>0.0472</v>
      </c>
      <c r="H14" s="16">
        <v>0.0494</v>
      </c>
      <c r="I14" s="16">
        <v>0.05</v>
      </c>
      <c r="J14" s="16">
        <v>0.0525</v>
      </c>
      <c r="K14" s="16">
        <v>0.05</v>
      </c>
      <c r="L14" s="16">
        <v>0.049</v>
      </c>
    </row>
    <row r="15" spans="1:12" ht="12.75">
      <c r="A15" s="42" t="s">
        <v>75</v>
      </c>
      <c r="G15" s="16">
        <v>0.0585</v>
      </c>
      <c r="H15" s="16">
        <v>0.052</v>
      </c>
      <c r="I15" s="16">
        <v>0.054</v>
      </c>
      <c r="J15" s="16">
        <v>0.058</v>
      </c>
      <c r="K15" s="16">
        <v>0.06</v>
      </c>
      <c r="L15" s="16">
        <v>0.06</v>
      </c>
    </row>
    <row r="18" spans="1:3" ht="12.75">
      <c r="A18" s="47" t="s">
        <v>93</v>
      </c>
      <c r="B18" s="7"/>
      <c r="C18" t="s">
        <v>54</v>
      </c>
    </row>
    <row r="19" spans="1:2" ht="12.75">
      <c r="A19" s="43"/>
      <c r="B19" s="8"/>
    </row>
    <row r="20" spans="1:2" ht="12.75">
      <c r="A20" s="49" t="s">
        <v>66</v>
      </c>
      <c r="B20" s="8"/>
    </row>
    <row r="21" spans="1:12" s="24" customFormat="1" ht="12.75">
      <c r="A21" s="44" t="s">
        <v>48</v>
      </c>
      <c r="B21" s="22" t="s">
        <v>72</v>
      </c>
      <c r="C21" s="26">
        <f>'Balance Sheet'!B6/'Balance Sheet'!B$28</f>
        <v>0.0835808957952468</v>
      </c>
      <c r="D21" s="26">
        <f>'Balance Sheet'!C6/'Balance Sheet'!C$28</f>
        <v>0.17547925005266485</v>
      </c>
      <c r="E21" s="26">
        <f>'Balance Sheet'!D6/'Balance Sheet'!D$28</f>
        <v>0.1420360110803324</v>
      </c>
      <c r="F21" s="26">
        <f>'Balance Sheet'!E6/'Balance Sheet'!E$28</f>
        <v>0.06475803120333005</v>
      </c>
      <c r="G21" s="27"/>
      <c r="H21" s="27"/>
      <c r="I21" s="27"/>
      <c r="J21" s="27"/>
      <c r="K21" s="27"/>
      <c r="L21" s="27"/>
    </row>
    <row r="22" spans="1:12" ht="12.75">
      <c r="A22" s="43" t="s">
        <v>76</v>
      </c>
      <c r="B22" s="8" t="s">
        <v>61</v>
      </c>
      <c r="C22" s="13">
        <f>'Balance Sheet'!B7/'Balance Sheet'!B$28</f>
        <v>0.05684414990859232</v>
      </c>
      <c r="D22" s="13">
        <f>'Balance Sheet'!C7/'Balance Sheet'!C$28</f>
        <v>0.157657467874447</v>
      </c>
      <c r="E22" s="13">
        <f>'Balance Sheet'!D7/'Balance Sheet'!D$28</f>
        <v>0.19494459833795014</v>
      </c>
      <c r="F22" s="13">
        <f>'Balance Sheet'!E7/'Balance Sheet'!E$28</f>
        <v>0.16751930348574878</v>
      </c>
      <c r="G22" s="12">
        <v>-0.06</v>
      </c>
      <c r="H22" s="12">
        <v>-0.04</v>
      </c>
      <c r="I22" s="12">
        <v>0</v>
      </c>
      <c r="J22" s="12">
        <v>0</v>
      </c>
      <c r="K22" s="12">
        <v>0</v>
      </c>
      <c r="L22" s="12">
        <v>0</v>
      </c>
    </row>
    <row r="23" spans="1:12" ht="12.75">
      <c r="A23" s="48" t="s">
        <v>12</v>
      </c>
      <c r="B23" s="22" t="s">
        <v>61</v>
      </c>
      <c r="C23" s="15">
        <f>'Balance Sheet'!B8/'Balance Sheet'!B$28</f>
        <v>0</v>
      </c>
      <c r="D23" s="15">
        <f>'Balance Sheet'!C8/'Balance Sheet'!C$28</f>
        <v>0.0036654729302717506</v>
      </c>
      <c r="E23" s="15">
        <f>'Balance Sheet'!D8/'Balance Sheet'!D$28</f>
        <v>0.0067520775623268695</v>
      </c>
      <c r="F23" s="15">
        <f>'Balance Sheet'!E8/'Balance Sheet'!E$28</f>
        <v>0.010040990117886308</v>
      </c>
      <c r="G23" s="12">
        <v>0</v>
      </c>
      <c r="H23" s="12">
        <f>G23</f>
        <v>0</v>
      </c>
      <c r="I23" s="12">
        <f>H23</f>
        <v>0</v>
      </c>
      <c r="J23" s="12">
        <f>I23</f>
        <v>0</v>
      </c>
      <c r="K23" s="12">
        <f>J23</f>
        <v>0</v>
      </c>
      <c r="L23" s="12">
        <f>K23</f>
        <v>0</v>
      </c>
    </row>
    <row r="24" spans="1:6" ht="12.75">
      <c r="A24" s="43"/>
      <c r="B24" s="8"/>
      <c r="C24" s="13"/>
      <c r="D24" s="13"/>
      <c r="E24" s="13"/>
      <c r="F24" s="13"/>
    </row>
    <row r="25" spans="1:12" ht="12.75">
      <c r="A25" s="43" t="s">
        <v>15</v>
      </c>
      <c r="B25" s="8" t="s">
        <v>57</v>
      </c>
      <c r="C25" s="13">
        <f>'Balance Sheet'!B10/'Income Statement'!B4</f>
        <v>0.19584001975064808</v>
      </c>
      <c r="D25" s="13">
        <f>'Balance Sheet'!C10/'Income Statement'!C4</f>
        <v>0.18184870724804528</v>
      </c>
      <c r="E25" s="13">
        <f>'Balance Sheet'!D10/'Income Statement'!D4</f>
        <v>0.13972875947347427</v>
      </c>
      <c r="F25" s="13">
        <f>'Balance Sheet'!E10/'Income Statement'!E4</f>
        <v>0.13660411829634986</v>
      </c>
      <c r="G25" s="12">
        <f aca="true" t="shared" si="1" ref="G25:L25">F25</f>
        <v>0.13660411829634986</v>
      </c>
      <c r="H25" s="12">
        <f t="shared" si="1"/>
        <v>0.13660411829634986</v>
      </c>
      <c r="I25" s="12">
        <f t="shared" si="1"/>
        <v>0.13660411829634986</v>
      </c>
      <c r="J25" s="12">
        <f t="shared" si="1"/>
        <v>0.13660411829634986</v>
      </c>
      <c r="K25" s="12">
        <f t="shared" si="1"/>
        <v>0.13660411829634986</v>
      </c>
      <c r="L25" s="12">
        <f t="shared" si="1"/>
        <v>0.13660411829634986</v>
      </c>
    </row>
    <row r="26" spans="1:12" ht="12.75">
      <c r="A26" s="43" t="s">
        <v>16</v>
      </c>
      <c r="B26" s="8" t="s">
        <v>62</v>
      </c>
      <c r="C26" s="15">
        <f>'Balance Sheet'!B11/'Balance Sheet'!B10</f>
        <v>-0.017964071856287425</v>
      </c>
      <c r="D26" s="15">
        <f>'Balance Sheet'!C11/'Balance Sheet'!C10</f>
        <v>-0.017937219730941704</v>
      </c>
      <c r="E26" s="15">
        <f>'Balance Sheet'!D11/'Balance Sheet'!D10</f>
        <v>-0.01855552383671139</v>
      </c>
      <c r="F26" s="15">
        <f>'Balance Sheet'!E11/'Balance Sheet'!E10</f>
        <v>-0.017275006965728614</v>
      </c>
      <c r="G26" s="18">
        <f>AVERAGE(C26:F26)</f>
        <v>-0.017932955597417283</v>
      </c>
      <c r="H26" s="18">
        <f>G26</f>
        <v>-0.017932955597417283</v>
      </c>
      <c r="I26" s="18">
        <f>H26</f>
        <v>-0.017932955597417283</v>
      </c>
      <c r="J26" s="18">
        <f>I26</f>
        <v>-0.017932955597417283</v>
      </c>
      <c r="K26" s="18">
        <f>J26</f>
        <v>-0.017932955597417283</v>
      </c>
      <c r="L26" s="18">
        <f>K26</f>
        <v>-0.017932955597417283</v>
      </c>
    </row>
    <row r="27" spans="1:12" ht="12.75">
      <c r="A27" s="43" t="s">
        <v>17</v>
      </c>
      <c r="B27" s="8" t="s">
        <v>57</v>
      </c>
      <c r="C27" s="13">
        <f>'Balance Sheet'!B12/'Balance Sheet'!B$28</f>
        <v>0.1780164533820841</v>
      </c>
      <c r="D27" s="13">
        <f>'Balance Sheet'!C12/'Balance Sheet'!C$28</f>
        <v>0.15685696229197388</v>
      </c>
      <c r="E27" s="13">
        <f>'Balance Sheet'!D12/'Balance Sheet'!D$28</f>
        <v>0.1190443213296399</v>
      </c>
      <c r="F27" s="13">
        <f>'Balance Sheet'!E12/'Balance Sheet'!E$28</f>
        <v>0.1120714308410918</v>
      </c>
      <c r="G27" s="12">
        <f aca="true" t="shared" si="2" ref="G27:L27">SUM(G25:G26)</f>
        <v>0.11867116269893258</v>
      </c>
      <c r="H27" s="12">
        <f t="shared" si="2"/>
        <v>0.11867116269893258</v>
      </c>
      <c r="I27" s="12">
        <f t="shared" si="2"/>
        <v>0.11867116269893258</v>
      </c>
      <c r="J27" s="12">
        <f t="shared" si="2"/>
        <v>0.11867116269893258</v>
      </c>
      <c r="K27" s="12">
        <f t="shared" si="2"/>
        <v>0.11867116269893258</v>
      </c>
      <c r="L27" s="12">
        <f t="shared" si="2"/>
        <v>0.11867116269893258</v>
      </c>
    </row>
    <row r="28" spans="1:12" ht="12.75">
      <c r="A28" s="43" t="s">
        <v>1</v>
      </c>
      <c r="B28" s="8" t="s">
        <v>63</v>
      </c>
      <c r="C28" s="13">
        <f>'Balance Sheet'!B13/'Income Statement'!B6</f>
        <v>0.25656125976187427</v>
      </c>
      <c r="D28" s="13">
        <f>'Balance Sheet'!C13/'Income Statement'!C6</f>
        <v>0.14109559144478392</v>
      </c>
      <c r="E28" s="13">
        <f>'Balance Sheet'!D13/'Income Statement'!D6</f>
        <v>0.1706385118149824</v>
      </c>
      <c r="F28" s="13">
        <f>'Balance Sheet'!E13/'Income Statement'!E6</f>
        <v>0.13027009222661395</v>
      </c>
      <c r="G28" s="12">
        <f aca="true" t="shared" si="3" ref="G28:L28">F28</f>
        <v>0.13027009222661395</v>
      </c>
      <c r="H28" s="12">
        <f t="shared" si="3"/>
        <v>0.13027009222661395</v>
      </c>
      <c r="I28" s="12">
        <f t="shared" si="3"/>
        <v>0.13027009222661395</v>
      </c>
      <c r="J28" s="12">
        <f t="shared" si="3"/>
        <v>0.13027009222661395</v>
      </c>
      <c r="K28" s="12">
        <f t="shared" si="3"/>
        <v>0.13027009222661395</v>
      </c>
      <c r="L28" s="12">
        <f t="shared" si="3"/>
        <v>0.13027009222661395</v>
      </c>
    </row>
    <row r="29" spans="1:12" ht="12.75">
      <c r="A29" s="43" t="s">
        <v>13</v>
      </c>
      <c r="B29" s="8" t="s">
        <v>59</v>
      </c>
      <c r="C29" s="13">
        <f>'Balance Sheet'!B14/'Income Statement'!B16</f>
        <v>0.11441390914189568</v>
      </c>
      <c r="D29" s="13">
        <f>'Balance Sheet'!C14/'Income Statement'!C16</f>
        <v>0.11052937754508435</v>
      </c>
      <c r="E29" s="13">
        <f>'Balance Sheet'!D14/'Income Statement'!D16</f>
        <v>0.09733621310295176</v>
      </c>
      <c r="F29" s="13">
        <f>'Balance Sheet'!E14/'Income Statement'!E16</f>
        <v>0.10184574818721161</v>
      </c>
      <c r="G29" s="12">
        <f>AVERAGE(C29:F29)</f>
        <v>0.10603131199428585</v>
      </c>
      <c r="H29" s="12">
        <f aca="true" t="shared" si="4" ref="H29:L30">G29</f>
        <v>0.10603131199428585</v>
      </c>
      <c r="I29" s="12">
        <f t="shared" si="4"/>
        <v>0.10603131199428585</v>
      </c>
      <c r="J29" s="12">
        <f t="shared" si="4"/>
        <v>0.10603131199428585</v>
      </c>
      <c r="K29" s="12">
        <f t="shared" si="4"/>
        <v>0.10603131199428585</v>
      </c>
      <c r="L29" s="12">
        <f t="shared" si="4"/>
        <v>0.10603131199428585</v>
      </c>
    </row>
    <row r="30" spans="1:12" ht="12.75">
      <c r="A30" s="45" t="s">
        <v>14</v>
      </c>
      <c r="B30" s="11" t="s">
        <v>61</v>
      </c>
      <c r="C30" s="19"/>
      <c r="D30" s="19"/>
      <c r="E30" s="19"/>
      <c r="F30" s="19"/>
      <c r="G30" s="25">
        <f>F30</f>
        <v>0</v>
      </c>
      <c r="H30" s="25">
        <f t="shared" si="4"/>
        <v>0</v>
      </c>
      <c r="I30" s="25">
        <f t="shared" si="4"/>
        <v>0</v>
      </c>
      <c r="J30" s="25">
        <f t="shared" si="4"/>
        <v>0</v>
      </c>
      <c r="K30" s="25">
        <f t="shared" si="4"/>
        <v>0</v>
      </c>
      <c r="L30" s="25">
        <f t="shared" si="4"/>
        <v>0</v>
      </c>
    </row>
    <row r="31" spans="1:12" ht="12.75">
      <c r="A31" s="45"/>
      <c r="B31" s="11"/>
      <c r="C31" s="19"/>
      <c r="D31" s="19"/>
      <c r="E31" s="19"/>
      <c r="F31" s="19"/>
      <c r="G31" s="20"/>
      <c r="H31" s="20"/>
      <c r="I31" s="20"/>
      <c r="J31" s="20"/>
      <c r="K31" s="20"/>
      <c r="L31" s="20"/>
    </row>
    <row r="32" spans="1:14" ht="12.75">
      <c r="A32" s="43" t="s">
        <v>19</v>
      </c>
      <c r="B32" s="12" t="s">
        <v>73</v>
      </c>
      <c r="C32" s="13">
        <f>'Balance Sheet'!B19/'Balance Sheet'!B$23</f>
        <v>0.42096104939097845</v>
      </c>
      <c r="D32" s="13">
        <f>'Balance Sheet'!C19/'Balance Sheet'!C$23</f>
        <v>0.5151408035819489</v>
      </c>
      <c r="E32" s="13">
        <f>'Balance Sheet'!D19/'Balance Sheet'!D$23</f>
        <v>0.47937371085692854</v>
      </c>
      <c r="F32" s="13">
        <f>'Balance Sheet'!E19/'Balance Sheet'!E$23</f>
        <v>0.5424239813937463</v>
      </c>
      <c r="H32" s="12"/>
      <c r="I32" s="12"/>
      <c r="J32" s="12"/>
      <c r="K32" s="12"/>
      <c r="L32" s="12"/>
      <c r="N32" s="12"/>
    </row>
    <row r="33" spans="1:14" ht="12.75">
      <c r="A33" s="43" t="s">
        <v>77</v>
      </c>
      <c r="B33" s="22" t="s">
        <v>64</v>
      </c>
      <c r="C33" s="13">
        <f>'Balance Sheet'!B20/'Balance Sheet'!B$23</f>
        <v>0.950207468879668</v>
      </c>
      <c r="D33" s="13">
        <f>'Balance Sheet'!C20/'Balance Sheet'!C$23</f>
        <v>1.0285141981854602</v>
      </c>
      <c r="E33" s="13">
        <f>'Balance Sheet'!D20/'Balance Sheet'!D$23</f>
        <v>0.9916557284830302</v>
      </c>
      <c r="F33" s="13">
        <f>'Balance Sheet'!E20/'Balance Sheet'!E$23</f>
        <v>1.1326556981652167</v>
      </c>
      <c r="G33" s="12">
        <v>1.21</v>
      </c>
      <c r="H33" s="12">
        <f aca="true" t="shared" si="5" ref="G33:L35">G33</f>
        <v>1.21</v>
      </c>
      <c r="I33" s="12">
        <f t="shared" si="5"/>
        <v>1.21</v>
      </c>
      <c r="J33" s="12">
        <f t="shared" si="5"/>
        <v>1.21</v>
      </c>
      <c r="K33" s="12">
        <f t="shared" si="5"/>
        <v>1.21</v>
      </c>
      <c r="L33" s="12">
        <f t="shared" si="5"/>
        <v>1.21</v>
      </c>
      <c r="N33" s="12"/>
    </row>
    <row r="34" spans="1:14" ht="12.75">
      <c r="A34" s="43" t="s">
        <v>18</v>
      </c>
      <c r="B34" s="22" t="s">
        <v>64</v>
      </c>
      <c r="C34" s="13">
        <f>'Balance Sheet'!B21/'Balance Sheet'!B$23</f>
        <v>0.20720117788783296</v>
      </c>
      <c r="D34" s="13">
        <f>'Balance Sheet'!C21/'Balance Sheet'!C$23</f>
        <v>0.13679745493107104</v>
      </c>
      <c r="E34" s="13">
        <f>'Balance Sheet'!D21/'Balance Sheet'!D$23</f>
        <v>0.22848303018938684</v>
      </c>
      <c r="F34" s="13">
        <f>'Balance Sheet'!E21/'Balance Sheet'!E$23</f>
        <v>0.13971918339219572</v>
      </c>
      <c r="G34" s="12">
        <f t="shared" si="5"/>
        <v>0.13971918339219572</v>
      </c>
      <c r="H34" s="12">
        <f t="shared" si="5"/>
        <v>0.13971918339219572</v>
      </c>
      <c r="I34" s="12">
        <f t="shared" si="5"/>
        <v>0.13971918339219572</v>
      </c>
      <c r="J34" s="12">
        <f t="shared" si="5"/>
        <v>0.13971918339219572</v>
      </c>
      <c r="K34" s="12">
        <f t="shared" si="5"/>
        <v>0.13971918339219572</v>
      </c>
      <c r="L34" s="12">
        <f t="shared" si="5"/>
        <v>0.13971918339219572</v>
      </c>
      <c r="N34" s="12"/>
    </row>
    <row r="35" spans="1:14" ht="12.75">
      <c r="A35" s="45" t="s">
        <v>20</v>
      </c>
      <c r="B35" s="22" t="s">
        <v>64</v>
      </c>
      <c r="C35" s="13">
        <f>'Balance Sheet'!B22/'Balance Sheet'!B$23*-1</f>
        <v>0.5783696961584794</v>
      </c>
      <c r="D35" s="13">
        <f>'Balance Sheet'!C22/'Balance Sheet'!C$23*-1</f>
        <v>0.68045245669848</v>
      </c>
      <c r="E35" s="13">
        <f>'Balance Sheet'!D22/'Balance Sheet'!D$23*-1</f>
        <v>0.6995124695293455</v>
      </c>
      <c r="F35" s="13">
        <f>'Balance Sheet'!E22/'Balance Sheet'!E$23*-1</f>
        <v>0.8147988629511586</v>
      </c>
      <c r="G35" s="12">
        <v>-0.85</v>
      </c>
      <c r="H35" s="12">
        <f t="shared" si="5"/>
        <v>-0.85</v>
      </c>
      <c r="I35" s="12">
        <f t="shared" si="5"/>
        <v>-0.85</v>
      </c>
      <c r="J35" s="12">
        <f t="shared" si="5"/>
        <v>-0.85</v>
      </c>
      <c r="K35" s="12">
        <f t="shared" si="5"/>
        <v>-0.85</v>
      </c>
      <c r="L35" s="12">
        <f t="shared" si="5"/>
        <v>-0.85</v>
      </c>
      <c r="N35" s="12"/>
    </row>
    <row r="36" spans="1:12" ht="12.75">
      <c r="A36" s="45" t="s">
        <v>65</v>
      </c>
      <c r="B36" s="8" t="s">
        <v>71</v>
      </c>
      <c r="C36" s="13"/>
      <c r="D36" s="13">
        <f>'Balance Sheet'!C23/'Balance Sheet'!B23-1</f>
        <v>0.13599250435015398</v>
      </c>
      <c r="E36" s="13">
        <f>'Balance Sheet'!D23/'Balance Sheet'!C23-1</f>
        <v>0.2567456109343702</v>
      </c>
      <c r="F36" s="13">
        <f>'Balance Sheet'!E23/'Balance Sheet'!D23-1</f>
        <v>0.08841177573598347</v>
      </c>
      <c r="G36" s="12">
        <v>0.12</v>
      </c>
      <c r="H36" s="12">
        <f>G36</f>
        <v>0.12</v>
      </c>
      <c r="I36" s="12">
        <f>H36</f>
        <v>0.12</v>
      </c>
      <c r="J36" s="12">
        <f>I36</f>
        <v>0.12</v>
      </c>
      <c r="K36" s="12">
        <f>J36</f>
        <v>0.12</v>
      </c>
      <c r="L36" s="12">
        <f>K36</f>
        <v>0.12</v>
      </c>
    </row>
    <row r="37" spans="1:7" ht="12.75">
      <c r="A37" s="43"/>
      <c r="B37" s="8"/>
      <c r="C37" s="13"/>
      <c r="D37" s="13"/>
      <c r="E37" s="13"/>
      <c r="F37" s="13"/>
      <c r="G37" s="21"/>
    </row>
    <row r="38" spans="1:12" ht="12.75">
      <c r="A38" s="43" t="s">
        <v>22</v>
      </c>
      <c r="B38" s="8" t="s">
        <v>61</v>
      </c>
      <c r="C38" s="13">
        <f>'Balance Sheet'!B25/'Balance Sheet'!B$28</f>
        <v>0.09443555758683729</v>
      </c>
      <c r="D38" s="13">
        <f>'Balance Sheet'!C25/'Balance Sheet'!C$28</f>
        <v>0.057004423846639986</v>
      </c>
      <c r="E38" s="13">
        <f>'Balance Sheet'!D25/'Balance Sheet'!D$28</f>
        <v>0.06367728531855955</v>
      </c>
      <c r="F38" s="13">
        <f>'Balance Sheet'!E25/'Balance Sheet'!E$28</f>
        <v>0.17047440500778493</v>
      </c>
      <c r="G38" s="12">
        <v>0</v>
      </c>
      <c r="H38" s="12">
        <f aca="true" t="shared" si="6" ref="H38:L39">G38</f>
        <v>0</v>
      </c>
      <c r="I38" s="12">
        <f t="shared" si="6"/>
        <v>0</v>
      </c>
      <c r="J38" s="12">
        <f t="shared" si="6"/>
        <v>0</v>
      </c>
      <c r="K38" s="12">
        <f t="shared" si="6"/>
        <v>0</v>
      </c>
      <c r="L38" s="12">
        <f t="shared" si="6"/>
        <v>0</v>
      </c>
    </row>
    <row r="39" spans="1:12" ht="12.75">
      <c r="A39" s="45" t="s">
        <v>23</v>
      </c>
      <c r="B39" s="11" t="s">
        <v>61</v>
      </c>
      <c r="C39" s="13">
        <f>'Balance Sheet'!B26/'Balance Sheet'!B$28</f>
        <v>0.016167733089579524</v>
      </c>
      <c r="D39" s="13">
        <f>'Balance Sheet'!C26/'Balance Sheet'!C$28</f>
        <v>0.008889825152728039</v>
      </c>
      <c r="E39" s="13">
        <f>'Balance Sheet'!D26/'Balance Sheet'!D$28</f>
        <v>0.017590027700831026</v>
      </c>
      <c r="F39" s="13">
        <f>'Balance Sheet'!E26/'Balance Sheet'!E$28</f>
        <v>0.032474341457214576</v>
      </c>
      <c r="G39" s="12"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</row>
    <row r="40" spans="1:6" ht="12.75">
      <c r="A40" s="45"/>
      <c r="B40" s="8"/>
      <c r="C40" s="13"/>
      <c r="D40" s="13"/>
      <c r="E40" s="13"/>
      <c r="F40" s="13"/>
    </row>
    <row r="41" spans="1:6" ht="12.75">
      <c r="A41" s="49" t="s">
        <v>24</v>
      </c>
      <c r="B41" s="8"/>
      <c r="C41" s="13"/>
      <c r="D41" s="13"/>
      <c r="E41" s="13"/>
      <c r="F41" s="13"/>
    </row>
    <row r="42" spans="1:12" ht="12.75">
      <c r="A42" s="43" t="s">
        <v>78</v>
      </c>
      <c r="B42" s="8" t="s">
        <v>61</v>
      </c>
      <c r="C42" s="13">
        <f>'Balance Sheet'!B33/'Balance Sheet'!B$28</f>
        <v>0.01976691042047532</v>
      </c>
      <c r="D42" s="13">
        <f>'Balance Sheet'!C33/'Balance Sheet'!C$28</f>
        <v>0.016389298504318518</v>
      </c>
      <c r="E42" s="13">
        <f>'Balance Sheet'!D33/'Balance Sheet'!D$28</f>
        <v>0.007340720221606648</v>
      </c>
      <c r="F42" s="13">
        <f>'Balance Sheet'!E33/'Balance Sheet'!E$28</f>
        <v>0.005052270344126339</v>
      </c>
      <c r="G42" s="12">
        <v>0</v>
      </c>
      <c r="H42" s="12">
        <f aca="true" t="shared" si="7" ref="H42:L47">G42</f>
        <v>0</v>
      </c>
      <c r="I42" s="12">
        <f t="shared" si="7"/>
        <v>0</v>
      </c>
      <c r="J42" s="12">
        <f t="shared" si="7"/>
        <v>0</v>
      </c>
      <c r="K42" s="12">
        <f t="shared" si="7"/>
        <v>0</v>
      </c>
      <c r="L42" s="12">
        <f t="shared" si="7"/>
        <v>0</v>
      </c>
    </row>
    <row r="43" spans="1:12" ht="25.5">
      <c r="A43" s="43" t="s">
        <v>25</v>
      </c>
      <c r="B43" s="8" t="s">
        <v>61</v>
      </c>
      <c r="C43" s="13">
        <f>'Balance Sheet'!B34/'Balance Sheet'!B$28</f>
        <v>0</v>
      </c>
      <c r="D43" s="13">
        <f>'Balance Sheet'!C34/'Balance Sheet'!C$28</f>
        <v>0</v>
      </c>
      <c r="E43" s="13">
        <f>'Balance Sheet'!D34/'Balance Sheet'!D$28</f>
        <v>0.003808864265927978</v>
      </c>
      <c r="F43" s="13">
        <f>'Balance Sheet'!E34/'Balance Sheet'!E$28</f>
        <v>0</v>
      </c>
      <c r="G43" s="12"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</row>
    <row r="44" spans="1:12" ht="12.75">
      <c r="A44" s="43" t="s">
        <v>5</v>
      </c>
      <c r="B44" s="8" t="s">
        <v>67</v>
      </c>
      <c r="C44" s="13">
        <f>'Balance Sheet'!B35/'Income Statement'!B6</f>
        <v>0.1106132377416464</v>
      </c>
      <c r="D44" s="13">
        <f>'Balance Sheet'!C35/'Income Statement'!C6</f>
        <v>0.10573985159319074</v>
      </c>
      <c r="E44" s="13">
        <f>'Balance Sheet'!D35/'Income Statement'!D6</f>
        <v>0.14147812971342383</v>
      </c>
      <c r="F44" s="13">
        <f>'Balance Sheet'!E35/'Income Statement'!E6</f>
        <v>0.10243741765480896</v>
      </c>
      <c r="G44" s="12">
        <f>AVERAGE(C44:F44)</f>
        <v>0.11506715917576749</v>
      </c>
      <c r="H44" s="12">
        <f t="shared" si="7"/>
        <v>0.11506715917576749</v>
      </c>
      <c r="I44" s="12">
        <f t="shared" si="7"/>
        <v>0.11506715917576749</v>
      </c>
      <c r="J44" s="12">
        <f t="shared" si="7"/>
        <v>0.11506715917576749</v>
      </c>
      <c r="K44" s="12">
        <f t="shared" si="7"/>
        <v>0.11506715917576749</v>
      </c>
      <c r="L44" s="12">
        <f t="shared" si="7"/>
        <v>0.11506715917576749</v>
      </c>
    </row>
    <row r="45" spans="1:12" ht="12.75">
      <c r="A45" s="43" t="s">
        <v>26</v>
      </c>
      <c r="B45" s="8" t="s">
        <v>61</v>
      </c>
      <c r="C45" s="13">
        <f>'Balance Sheet'!B36/'Balance Sheet'!B$28</f>
        <v>0.04330438756855576</v>
      </c>
      <c r="D45" s="13">
        <f>'Balance Sheet'!C36/'Balance Sheet'!C$28</f>
        <v>0.047524752475247525</v>
      </c>
      <c r="E45" s="13">
        <f>'Balance Sheet'!D36/'Balance Sheet'!D$28</f>
        <v>0.043905817174515235</v>
      </c>
      <c r="F45" s="13">
        <f>'Balance Sheet'!E36/'Balance Sheet'!E$28</f>
        <v>0.040831241460392104</v>
      </c>
      <c r="G45" s="12">
        <v>0</v>
      </c>
      <c r="H45" s="12">
        <f t="shared" si="7"/>
        <v>0</v>
      </c>
      <c r="I45" s="12">
        <f t="shared" si="7"/>
        <v>0</v>
      </c>
      <c r="J45" s="12">
        <f t="shared" si="7"/>
        <v>0</v>
      </c>
      <c r="K45" s="12">
        <f t="shared" si="7"/>
        <v>0</v>
      </c>
      <c r="L45" s="12">
        <f t="shared" si="7"/>
        <v>0</v>
      </c>
    </row>
    <row r="46" spans="1:12" ht="25.5">
      <c r="A46" s="43" t="s">
        <v>27</v>
      </c>
      <c r="B46" s="8" t="s">
        <v>57</v>
      </c>
      <c r="C46" s="13">
        <f>'Balance Sheet'!B37/'Income Statement'!B4</f>
        <v>0.01876311566473275</v>
      </c>
      <c r="D46" s="13">
        <f>'Balance Sheet'!C37/'Income Statement'!C4</f>
        <v>0.022737084472585982</v>
      </c>
      <c r="E46" s="13">
        <f>'Balance Sheet'!D37/'Income Statement'!D4</f>
        <v>0.020582369365775826</v>
      </c>
      <c r="F46" s="13">
        <f>'Balance Sheet'!E37/'Income Statement'!E4</f>
        <v>0.023065504510333804</v>
      </c>
      <c r="G46" s="12">
        <f>AVERAGE(C46:F46)</f>
        <v>0.02128701850335709</v>
      </c>
      <c r="H46" s="12">
        <f t="shared" si="7"/>
        <v>0.02128701850335709</v>
      </c>
      <c r="I46" s="12">
        <f t="shared" si="7"/>
        <v>0.02128701850335709</v>
      </c>
      <c r="J46" s="12">
        <f t="shared" si="7"/>
        <v>0.02128701850335709</v>
      </c>
      <c r="K46" s="12">
        <f t="shared" si="7"/>
        <v>0.02128701850335709</v>
      </c>
      <c r="L46" s="12">
        <f t="shared" si="7"/>
        <v>0.02128701850335709</v>
      </c>
    </row>
    <row r="47" spans="1:12" ht="12.75">
      <c r="A47" s="43" t="s">
        <v>28</v>
      </c>
      <c r="B47" s="8" t="s">
        <v>57</v>
      </c>
      <c r="C47" s="13">
        <f>'Balance Sheet'!B38/'Income Statement'!B4</f>
        <v>0.013455128996420195</v>
      </c>
      <c r="D47" s="13">
        <f>'Balance Sheet'!C38/'Income Statement'!C4</f>
        <v>0.01966709838346045</v>
      </c>
      <c r="E47" s="13">
        <f>'Balance Sheet'!D38/'Income Statement'!D4</f>
        <v>0.01994415636218588</v>
      </c>
      <c r="F47" s="13">
        <f>'Balance Sheet'!E38/'Income Statement'!E4</f>
        <v>0.01743234499295855</v>
      </c>
      <c r="G47" s="12">
        <f>AVERAGE(C47:F47)</f>
        <v>0.01762468218375627</v>
      </c>
      <c r="H47" s="12">
        <f t="shared" si="7"/>
        <v>0.01762468218375627</v>
      </c>
      <c r="I47" s="12">
        <f t="shared" si="7"/>
        <v>0.01762468218375627</v>
      </c>
      <c r="J47" s="12">
        <f t="shared" si="7"/>
        <v>0.01762468218375627</v>
      </c>
      <c r="K47" s="12">
        <f t="shared" si="7"/>
        <v>0.01762468218375627</v>
      </c>
      <c r="L47" s="12">
        <f t="shared" si="7"/>
        <v>0.01762468218375627</v>
      </c>
    </row>
    <row r="48" spans="1:12" ht="12.75">
      <c r="A48" s="43" t="s">
        <v>29</v>
      </c>
      <c r="B48" s="8" t="s">
        <v>57</v>
      </c>
      <c r="C48" s="13">
        <f>'Balance Sheet'!B39/'Income Statement'!B4</f>
        <v>0.02024441426984323</v>
      </c>
      <c r="D48" s="13">
        <f>'Balance Sheet'!C39/'Income Statement'!C4</f>
        <v>0.024320046049791336</v>
      </c>
      <c r="E48" s="13">
        <f>'Balance Sheet'!D39/'Income Statement'!D4</f>
        <v>0.03358595931392102</v>
      </c>
      <c r="F48" s="13">
        <f>'Balance Sheet'!E39/'Income Statement'!E4</f>
        <v>0.04163970616221977</v>
      </c>
      <c r="G48" s="12">
        <f>AVERAGE(C48:F48)</f>
        <v>0.02994753144894384</v>
      </c>
      <c r="H48" s="12">
        <f>G48</f>
        <v>0.02994753144894384</v>
      </c>
      <c r="I48" s="12">
        <f aca="true" t="shared" si="8" ref="I48:L49">H48</f>
        <v>0.02994753144894384</v>
      </c>
      <c r="J48" s="12">
        <f t="shared" si="8"/>
        <v>0.02994753144894384</v>
      </c>
      <c r="K48" s="12">
        <f t="shared" si="8"/>
        <v>0.02994753144894384</v>
      </c>
      <c r="L48" s="12">
        <f t="shared" si="8"/>
        <v>0.02994753144894384</v>
      </c>
    </row>
    <row r="49" spans="1:12" ht="12.75">
      <c r="A49" s="45" t="s">
        <v>30</v>
      </c>
      <c r="B49" s="11" t="s">
        <v>59</v>
      </c>
      <c r="C49" s="13">
        <f>'Balance Sheet'!B40/'Income Statement'!B14</f>
        <v>0.14207165661582122</v>
      </c>
      <c r="D49" s="13">
        <f>'Balance Sheet'!C40/'Income Statement'!C14</f>
        <v>0.12427527098563146</v>
      </c>
      <c r="E49" s="13">
        <f>'Balance Sheet'!D40/'Income Statement'!D14</f>
        <v>0.1092973074397223</v>
      </c>
      <c r="F49" s="13">
        <f>'Balance Sheet'!E40/'Income Statement'!E14</f>
        <v>0.10484841851811316</v>
      </c>
      <c r="G49" s="12">
        <f>AVERAGE(C49:F49)</f>
        <v>0.12012316338982203</v>
      </c>
      <c r="H49" s="12">
        <f>G49</f>
        <v>0.12012316338982203</v>
      </c>
      <c r="I49" s="12">
        <f t="shared" si="8"/>
        <v>0.12012316338982203</v>
      </c>
      <c r="J49" s="12">
        <f t="shared" si="8"/>
        <v>0.12012316338982203</v>
      </c>
      <c r="K49" s="12">
        <f t="shared" si="8"/>
        <v>0.12012316338982203</v>
      </c>
      <c r="L49" s="12">
        <f t="shared" si="8"/>
        <v>0.12012316338982203</v>
      </c>
    </row>
    <row r="50" spans="1:6" ht="12.75">
      <c r="A50" s="45"/>
      <c r="B50" s="8"/>
      <c r="C50" s="13"/>
      <c r="D50" s="13"/>
      <c r="E50" s="13"/>
      <c r="F50" s="13"/>
    </row>
    <row r="51" spans="1:12" ht="12.75">
      <c r="A51" s="43" t="s">
        <v>6</v>
      </c>
      <c r="B51" s="8" t="s">
        <v>61</v>
      </c>
      <c r="C51" s="13">
        <f>'Balance Sheet'!B43/'Balance Sheet'!B$28</f>
        <v>0.022851919561243144</v>
      </c>
      <c r="D51" s="13">
        <f>'Balance Sheet'!C43/'Balance Sheet'!C$28</f>
        <v>0.03067200337054982</v>
      </c>
      <c r="E51" s="13">
        <f>'Balance Sheet'!D43/'Balance Sheet'!D$28</f>
        <v>0.01551246537396122</v>
      </c>
      <c r="F51" s="13">
        <f>'Balance Sheet'!E43/'Balance Sheet'!E$28</f>
        <v>0.022306250198595532</v>
      </c>
      <c r="G51" s="12">
        <v>0</v>
      </c>
      <c r="H51" s="12">
        <f aca="true" t="shared" si="9" ref="H51:L53">G51</f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</row>
    <row r="52" spans="1:12" ht="12.75">
      <c r="A52" s="43" t="s">
        <v>32</v>
      </c>
      <c r="B52" s="8" t="s">
        <v>68</v>
      </c>
      <c r="C52" s="13">
        <f>'Balance Sheet'!B44/'Income Statement'!B14</f>
        <v>0.10996807378503015</v>
      </c>
      <c r="D52" s="13">
        <f>'Balance Sheet'!C44/'Income Statement'!C14</f>
        <v>0.12566170910007562</v>
      </c>
      <c r="E52" s="13">
        <f>'Balance Sheet'!D44/'Income Statement'!D14</f>
        <v>0.10094755605591518</v>
      </c>
      <c r="F52" s="13">
        <f>'Balance Sheet'!E44/'Income Statement'!E14</f>
        <v>0.15180037211338512</v>
      </c>
      <c r="G52" s="12">
        <f>AVERAGE(C52:F52)</f>
        <v>0.12209442776360152</v>
      </c>
      <c r="H52" s="12">
        <f t="shared" si="9"/>
        <v>0.12209442776360152</v>
      </c>
      <c r="I52" s="12">
        <f t="shared" si="9"/>
        <v>0.12209442776360152</v>
      </c>
      <c r="J52" s="12">
        <f t="shared" si="9"/>
        <v>0.12209442776360152</v>
      </c>
      <c r="K52" s="12">
        <f t="shared" si="9"/>
        <v>0.12209442776360152</v>
      </c>
      <c r="L52" s="12">
        <f t="shared" si="9"/>
        <v>0.12209442776360152</v>
      </c>
    </row>
    <row r="53" spans="1:12" ht="12.75">
      <c r="A53" s="43" t="s">
        <v>33</v>
      </c>
      <c r="B53" s="8" t="s">
        <v>61</v>
      </c>
      <c r="C53" s="13">
        <f>'Balance Sheet'!B45/'Balance Sheet'!B$28</f>
        <v>0.0414191042047532</v>
      </c>
      <c r="D53" s="13">
        <f>'Balance Sheet'!C45/'Balance Sheet'!C$28</f>
        <v>0.01158626500947967</v>
      </c>
      <c r="E53" s="13">
        <f>'Balance Sheet'!D45/'Balance Sheet'!D$28</f>
        <v>0.07067174515235457</v>
      </c>
      <c r="F53" s="13">
        <f>'Balance Sheet'!E45/'Balance Sheet'!E$28</f>
        <v>0.006386832321820088</v>
      </c>
      <c r="G53" s="12">
        <v>0</v>
      </c>
      <c r="H53" s="12">
        <f t="shared" si="9"/>
        <v>0</v>
      </c>
      <c r="I53" s="12">
        <f t="shared" si="9"/>
        <v>0</v>
      </c>
      <c r="J53" s="12">
        <f t="shared" si="9"/>
        <v>0</v>
      </c>
      <c r="K53" s="12">
        <f t="shared" si="9"/>
        <v>0</v>
      </c>
      <c r="L53" s="12">
        <f t="shared" si="9"/>
        <v>0</v>
      </c>
    </row>
    <row r="54" spans="3:6" ht="12.75">
      <c r="C54" s="13"/>
      <c r="D54" s="13"/>
      <c r="E54" s="13"/>
      <c r="F54" s="13"/>
    </row>
    <row r="55" spans="1:6" ht="12.75">
      <c r="A55" s="50" t="s">
        <v>34</v>
      </c>
      <c r="B55" s="8"/>
      <c r="C55" s="13"/>
      <c r="D55" s="13"/>
      <c r="E55" s="13"/>
      <c r="F55" s="13"/>
    </row>
    <row r="56" spans="1:12" ht="38.25">
      <c r="A56" s="43" t="s">
        <v>79</v>
      </c>
      <c r="B56" s="8" t="s">
        <v>61</v>
      </c>
      <c r="C56" s="13"/>
      <c r="D56" s="13"/>
      <c r="E56" s="13"/>
      <c r="F56" s="13"/>
      <c r="G56" s="12">
        <f>F56</f>
        <v>0</v>
      </c>
      <c r="H56" s="12">
        <f aca="true" t="shared" si="10" ref="H56:L57">G56</f>
        <v>0</v>
      </c>
      <c r="I56" s="12">
        <f t="shared" si="10"/>
        <v>0</v>
      </c>
      <c r="J56" s="12">
        <f t="shared" si="10"/>
        <v>0</v>
      </c>
      <c r="K56" s="12">
        <f t="shared" si="10"/>
        <v>0</v>
      </c>
      <c r="L56" s="12">
        <f t="shared" si="10"/>
        <v>0</v>
      </c>
    </row>
    <row r="57" spans="1:12" ht="25.5">
      <c r="A57" s="43" t="s">
        <v>36</v>
      </c>
      <c r="B57" s="8" t="s">
        <v>61</v>
      </c>
      <c r="C57" s="13"/>
      <c r="D57" s="13"/>
      <c r="E57" s="13"/>
      <c r="F57" s="13"/>
      <c r="G57" s="12">
        <f>F57</f>
        <v>0</v>
      </c>
      <c r="H57" s="12">
        <f t="shared" si="10"/>
        <v>0</v>
      </c>
      <c r="I57" s="12">
        <f t="shared" si="10"/>
        <v>0</v>
      </c>
      <c r="J57" s="12">
        <f t="shared" si="10"/>
        <v>0</v>
      </c>
      <c r="K57" s="12">
        <f t="shared" si="10"/>
        <v>0</v>
      </c>
      <c r="L57" s="12">
        <f t="shared" si="10"/>
        <v>0</v>
      </c>
    </row>
    <row r="58" spans="1:12" ht="25.5">
      <c r="A58" s="43" t="s">
        <v>80</v>
      </c>
      <c r="B58" s="8" t="s">
        <v>61</v>
      </c>
      <c r="C58" s="13"/>
      <c r="D58" s="13"/>
      <c r="E58" s="13"/>
      <c r="F58" s="13"/>
      <c r="G58" s="18">
        <v>0</v>
      </c>
      <c r="H58" s="18">
        <f>G58</f>
        <v>0</v>
      </c>
      <c r="I58" s="18">
        <f>H58</f>
        <v>0</v>
      </c>
      <c r="J58" s="18">
        <f>I58</f>
        <v>0</v>
      </c>
      <c r="K58" s="18">
        <f>J58</f>
        <v>0</v>
      </c>
      <c r="L58" s="18">
        <f>K58</f>
        <v>0</v>
      </c>
    </row>
    <row r="59" spans="1:12" ht="25.5">
      <c r="A59" s="43" t="s">
        <v>37</v>
      </c>
      <c r="B59" s="8" t="s">
        <v>61</v>
      </c>
      <c r="C59" s="13"/>
      <c r="D59" s="13"/>
      <c r="E59" s="13"/>
      <c r="F59" s="13"/>
      <c r="G59" s="18">
        <v>0.003</v>
      </c>
      <c r="H59" s="18">
        <v>-0.008</v>
      </c>
      <c r="I59" s="18">
        <v>0.005</v>
      </c>
      <c r="J59" s="18">
        <v>0.009</v>
      </c>
      <c r="K59" s="18">
        <v>-0.005</v>
      </c>
      <c r="L59" s="18">
        <v>0.003</v>
      </c>
    </row>
    <row r="60" spans="1:12" ht="12.75">
      <c r="A60" s="43" t="s">
        <v>39</v>
      </c>
      <c r="B60" s="8" t="s">
        <v>61</v>
      </c>
      <c r="C60" s="13"/>
      <c r="D60" s="13"/>
      <c r="E60" s="13"/>
      <c r="F60" s="13"/>
      <c r="G60" s="12">
        <v>0</v>
      </c>
      <c r="H60" s="12">
        <f>G60</f>
        <v>0</v>
      </c>
      <c r="I60" s="12">
        <f>H60</f>
        <v>0</v>
      </c>
      <c r="J60" s="12">
        <f>I60</f>
        <v>0</v>
      </c>
      <c r="K60" s="12">
        <f>J60</f>
        <v>0</v>
      </c>
      <c r="L60" s="12">
        <f>K60</f>
        <v>0</v>
      </c>
    </row>
    <row r="61" spans="1:12" ht="25.5">
      <c r="A61" s="45" t="s">
        <v>40</v>
      </c>
      <c r="B61" s="11" t="s">
        <v>61</v>
      </c>
      <c r="C61" s="13">
        <f>'Balance Sheet'!B56/'Balance Sheet'!B$28</f>
        <v>0</v>
      </c>
      <c r="D61" s="13">
        <f>'Balance Sheet'!C56/'Balance Sheet'!C$28</f>
        <v>0</v>
      </c>
      <c r="E61" s="13">
        <f>'Balance Sheet'!D56/'Balance Sheet'!D$28</f>
        <v>0.0020083102493074793</v>
      </c>
      <c r="F61" s="13">
        <f>'Balance Sheet'!E56/'Balance Sheet'!E$28</f>
        <v>0.019160496965460266</v>
      </c>
      <c r="G61" s="28">
        <v>-1</v>
      </c>
      <c r="H61" s="28">
        <v>0</v>
      </c>
      <c r="I61" s="28">
        <f>H61</f>
        <v>0</v>
      </c>
      <c r="J61" s="28">
        <f>I61</f>
        <v>0</v>
      </c>
      <c r="K61" s="28">
        <f>J61</f>
        <v>0</v>
      </c>
      <c r="L61" s="28">
        <f>K61</f>
        <v>0</v>
      </c>
    </row>
    <row r="62" spans="1:12" ht="12.75">
      <c r="A62" s="45"/>
      <c r="B62" s="11"/>
      <c r="C62" s="19"/>
      <c r="D62" s="19"/>
      <c r="E62" s="19"/>
      <c r="F62" s="19"/>
      <c r="G62" s="20"/>
      <c r="H62" s="20"/>
      <c r="I62" s="20"/>
      <c r="J62" s="20"/>
      <c r="K62" s="20"/>
      <c r="L62" s="2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&amp;L&amp;"Arial,Bold"&amp;12Intel Corporation&amp;R&amp;"Arial,Bold"&amp;A</oddHeader>
    <oddFooter>&amp;L&amp;D &amp;T&amp;CPage &amp;P/&amp;N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75" zoomScaleNormal="75" workbookViewId="0" topLeftCell="A1">
      <pane ySplit="2" topLeftCell="BM3" activePane="bottomLeft" state="frozen"/>
      <selection pane="topLeft" activeCell="I20" sqref="I20"/>
      <selection pane="bottomLeft" activeCell="J47" sqref="J47"/>
    </sheetView>
  </sheetViews>
  <sheetFormatPr defaultColWidth="9.140625" defaultRowHeight="12.75"/>
  <cols>
    <col min="1" max="1" width="28.140625" style="8" customWidth="1"/>
    <col min="2" max="5" width="10.00390625" style="1" hidden="1" customWidth="1"/>
    <col min="6" max="9" width="10.00390625" style="1" bestFit="1" customWidth="1"/>
    <col min="10" max="10" width="9.57421875" style="1" customWidth="1"/>
    <col min="11" max="11" width="8.8515625" style="1" customWidth="1"/>
    <col min="12" max="16384" width="19.00390625" style="1" customWidth="1"/>
  </cols>
  <sheetData>
    <row r="1" spans="1:2" ht="12.75">
      <c r="A1" s="7"/>
      <c r="B1" s="2"/>
    </row>
    <row r="2" spans="1:11" ht="12.75">
      <c r="A2" s="9"/>
      <c r="B2" s="60">
        <v>1995</v>
      </c>
      <c r="C2" s="60">
        <v>1996</v>
      </c>
      <c r="D2" s="60">
        <v>1997</v>
      </c>
      <c r="E2" s="60">
        <v>1998</v>
      </c>
      <c r="F2" s="60">
        <v>1999</v>
      </c>
      <c r="G2" s="60">
        <v>2000</v>
      </c>
      <c r="H2" s="60">
        <v>2001</v>
      </c>
      <c r="I2" s="60">
        <v>2002</v>
      </c>
      <c r="J2" s="60">
        <v>2003</v>
      </c>
      <c r="K2" s="60">
        <v>2004</v>
      </c>
    </row>
    <row r="3" spans="2:11" ht="12.75"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8" t="s">
        <v>49</v>
      </c>
      <c r="B4" s="33">
        <v>16202</v>
      </c>
      <c r="C4" s="33">
        <v>20847</v>
      </c>
      <c r="D4" s="33">
        <v>25070</v>
      </c>
      <c r="E4" s="33">
        <v>26273</v>
      </c>
      <c r="F4" s="33">
        <f>E4*(1+Assumptions!G5)</f>
        <v>29951.220000000005</v>
      </c>
      <c r="G4" s="33">
        <f>F4*(1+Assumptions!H5)</f>
        <v>33545.366400000006</v>
      </c>
      <c r="H4" s="33">
        <f>G4*(1+Assumptions!I5)</f>
        <v>36228.99571200001</v>
      </c>
      <c r="I4" s="33">
        <f>H4*(1+Assumptions!J5)</f>
        <v>39851.895283200014</v>
      </c>
      <c r="J4" s="33">
        <f>I4*(1+Assumptions!K5)</f>
        <v>44634.12271718402</v>
      </c>
      <c r="K4" s="33">
        <f>J4*(1+Assumptions!L5)</f>
        <v>49990.21744324611</v>
      </c>
    </row>
    <row r="5" spans="2:11" ht="12.75"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8" t="s">
        <v>10</v>
      </c>
      <c r="B6" s="33">
        <v>7811</v>
      </c>
      <c r="C6" s="33">
        <v>9164</v>
      </c>
      <c r="D6" s="33">
        <v>9945</v>
      </c>
      <c r="E6" s="33">
        <v>12144</v>
      </c>
      <c r="F6" s="33">
        <f>'Income Statement'!F$4*Assumptions!G7</f>
        <v>12579.512400000001</v>
      </c>
      <c r="G6" s="33">
        <f>'Income Statement'!G$4*Assumptions!H7</f>
        <v>14089.053888000002</v>
      </c>
      <c r="H6" s="33">
        <f>'Income Statement'!H$4*Assumptions!I7</f>
        <v>15940.758113280004</v>
      </c>
      <c r="I6" s="33">
        <f>'Income Statement'!I$4*Assumptions!J7</f>
        <v>17136.314971776006</v>
      </c>
      <c r="J6" s="33">
        <f>'Income Statement'!J$4*Assumptions!K7</f>
        <v>17853.64908687361</v>
      </c>
      <c r="K6" s="33">
        <f>'Income Statement'!K$4*Assumptions!L7</f>
        <v>19496.184802865984</v>
      </c>
    </row>
    <row r="7" spans="1:11" ht="12.75">
      <c r="A7" s="8" t="s">
        <v>11</v>
      </c>
      <c r="B7" s="33">
        <v>1296</v>
      </c>
      <c r="C7" s="33">
        <v>1808</v>
      </c>
      <c r="D7" s="33">
        <v>2347</v>
      </c>
      <c r="E7" s="33">
        <v>2509</v>
      </c>
      <c r="F7" s="33">
        <f>'Income Statement'!F$4*Assumptions!G8</f>
        <v>2995.1220000000008</v>
      </c>
      <c r="G7" s="33">
        <f>'Income Statement'!G$4*Assumptions!H8</f>
        <v>3354.5366400000007</v>
      </c>
      <c r="H7" s="33">
        <f>'Income Statement'!H$4*Assumptions!I8</f>
        <v>3622.8995712000014</v>
      </c>
      <c r="I7" s="33">
        <f>'Income Statement'!I$4*Assumptions!J8</f>
        <v>3985.1895283200015</v>
      </c>
      <c r="J7" s="33">
        <f>'Income Statement'!J$4*Assumptions!K8</f>
        <v>4463.412271718403</v>
      </c>
      <c r="K7" s="33">
        <f>'Income Statement'!K$4*Assumptions!L8</f>
        <v>4999.021744324611</v>
      </c>
    </row>
    <row r="8" spans="1:11" ht="12.75">
      <c r="A8" s="8" t="s">
        <v>53</v>
      </c>
      <c r="B8" s="33">
        <v>1843</v>
      </c>
      <c r="C8" s="33">
        <v>2322</v>
      </c>
      <c r="D8" s="33">
        <v>2891</v>
      </c>
      <c r="E8" s="33">
        <f>3076+165</f>
        <v>3241</v>
      </c>
      <c r="F8" s="33">
        <f>'Income Statement'!F$4*Assumptions!G9</f>
        <v>3893.6586000000007</v>
      </c>
      <c r="G8" s="33">
        <f>'Income Statement'!G$4*Assumptions!H9</f>
        <v>5031.80496</v>
      </c>
      <c r="H8" s="33">
        <f>'Income Statement'!H$4*Assumptions!I9</f>
        <v>5072.059399680002</v>
      </c>
      <c r="I8" s="33">
        <f>'Income Statement'!I$4*Assumptions!J9</f>
        <v>5579.265339648003</v>
      </c>
      <c r="J8" s="33">
        <f>'Income Statement'!J$4*Assumptions!K9</f>
        <v>5802.435953233923</v>
      </c>
      <c r="K8" s="33">
        <f>'Income Statement'!K$4*Assumptions!L9</f>
        <v>6498.728267621995</v>
      </c>
    </row>
    <row r="9" spans="1:11" ht="12.75">
      <c r="A9" s="14" t="s">
        <v>42</v>
      </c>
      <c r="B9" s="35">
        <f aca="true" t="shared" si="0" ref="B9:K9">SUM(B6:B8)</f>
        <v>10950</v>
      </c>
      <c r="C9" s="35">
        <f t="shared" si="0"/>
        <v>13294</v>
      </c>
      <c r="D9" s="35">
        <f t="shared" si="0"/>
        <v>15183</v>
      </c>
      <c r="E9" s="35">
        <f t="shared" si="0"/>
        <v>17894</v>
      </c>
      <c r="F9" s="35">
        <f t="shared" si="0"/>
        <v>19468.293000000005</v>
      </c>
      <c r="G9" s="35">
        <f t="shared" si="0"/>
        <v>22475.395488000006</v>
      </c>
      <c r="H9" s="35">
        <f t="shared" si="0"/>
        <v>24635.71708416001</v>
      </c>
      <c r="I9" s="35">
        <f t="shared" si="0"/>
        <v>26700.76983974401</v>
      </c>
      <c r="J9" s="35">
        <f t="shared" si="0"/>
        <v>28119.497311825937</v>
      </c>
      <c r="K9" s="35">
        <f t="shared" si="0"/>
        <v>30993.93481481259</v>
      </c>
    </row>
    <row r="10" spans="1:11" ht="12.75">
      <c r="A10" s="11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2.75">
      <c r="A11" s="8" t="s">
        <v>50</v>
      </c>
      <c r="B11" s="33">
        <f aca="true" t="shared" si="1" ref="B11:K11">B4-B9</f>
        <v>5252</v>
      </c>
      <c r="C11" s="33">
        <f t="shared" si="1"/>
        <v>7553</v>
      </c>
      <c r="D11" s="33">
        <f t="shared" si="1"/>
        <v>9887</v>
      </c>
      <c r="E11" s="33">
        <f t="shared" si="1"/>
        <v>8379</v>
      </c>
      <c r="F11" s="33">
        <f t="shared" si="1"/>
        <v>10482.927</v>
      </c>
      <c r="G11" s="33">
        <f t="shared" si="1"/>
        <v>11069.970912</v>
      </c>
      <c r="H11" s="33">
        <f t="shared" si="1"/>
        <v>11593.278627840002</v>
      </c>
      <c r="I11" s="33">
        <f t="shared" si="1"/>
        <v>13151.125443456003</v>
      </c>
      <c r="J11" s="33">
        <f t="shared" si="1"/>
        <v>16514.625405358085</v>
      </c>
      <c r="K11" s="33">
        <f t="shared" si="1"/>
        <v>18996.28262843352</v>
      </c>
    </row>
    <row r="12" spans="1:11" ht="12.75">
      <c r="A12" s="8" t="s">
        <v>0</v>
      </c>
      <c r="B12" s="33">
        <v>-29</v>
      </c>
      <c r="C12" s="33">
        <v>-25</v>
      </c>
      <c r="D12" s="33">
        <v>-27</v>
      </c>
      <c r="E12" s="33">
        <v>-34</v>
      </c>
      <c r="F12" s="33">
        <f>('Balance Sheet'!F33*Assumptions!G15+'Balance Sheet'!F34*Assumptions!G14+'Balance Sheet'!F43*Assumptions!G14)*-1</f>
        <v>-42.435900000000004</v>
      </c>
      <c r="G12" s="33">
        <f>('Balance Sheet'!G33*Assumptions!H15+'Balance Sheet'!G34*Assumptions!H14+'Balance Sheet'!G43*Assumptions!H14)*-1</f>
        <v>-42.9468</v>
      </c>
      <c r="H12" s="33">
        <f>('Balance Sheet'!H33*Assumptions!I15+'Balance Sheet'!H34*Assumptions!I14+'Balance Sheet'!H43*Assumptions!I14)*-1</f>
        <v>-43.686</v>
      </c>
      <c r="I12" s="33">
        <f>('Balance Sheet'!I33*Assumptions!J15+'Balance Sheet'!I34*Assumptions!J14+'Balance Sheet'!I43*Assumptions!J14)*-1</f>
        <v>-46.077</v>
      </c>
      <c r="J12" s="33">
        <f>('Balance Sheet'!J33*Assumptions!K15+'Balance Sheet'!J34*Assumptions!K14+'Balance Sheet'!J43*Assumptions!K14)*-1</f>
        <v>-44.64</v>
      </c>
      <c r="K12" s="33">
        <f>('Balance Sheet'!K33*Assumptions!L15+'Balance Sheet'!K34*Assumptions!L14+'Balance Sheet'!K43*Assumptions!L14)*-1</f>
        <v>-43.938</v>
      </c>
    </row>
    <row r="13" spans="1:11" ht="12.75">
      <c r="A13" s="9" t="s">
        <v>43</v>
      </c>
      <c r="B13" s="40">
        <v>415</v>
      </c>
      <c r="C13" s="40">
        <v>406</v>
      </c>
      <c r="D13" s="40">
        <v>799</v>
      </c>
      <c r="E13" s="40">
        <v>792</v>
      </c>
      <c r="F13" s="40">
        <f>SUM('Balance Sheet'!F6:F8)*Assumptions!G11</f>
        <v>756.800807631471</v>
      </c>
      <c r="G13" s="40">
        <f>SUM('Balance Sheet'!G6:G8)*Assumptions!H11</f>
        <v>831.4985459934885</v>
      </c>
      <c r="H13" s="40">
        <f>SUM('Balance Sheet'!H6:H8)*Assumptions!I11</f>
        <v>911.4058522639447</v>
      </c>
      <c r="I13" s="40">
        <f>SUM('Balance Sheet'!I6:I8)*Assumptions!J11</f>
        <v>1103.884932056414</v>
      </c>
      <c r="J13" s="40">
        <f>SUM('Balance Sheet'!J6:J8)*Assumptions!K11</f>
        <v>1558.688965290657</v>
      </c>
      <c r="K13" s="40">
        <f>SUM('Balance Sheet'!K6:K8)*Assumptions!L11</f>
        <v>2168.680793016108</v>
      </c>
    </row>
    <row r="14" spans="1:11" ht="12.75">
      <c r="A14" s="8" t="s">
        <v>51</v>
      </c>
      <c r="B14" s="33">
        <f>B11+B12+B13</f>
        <v>5638</v>
      </c>
      <c r="C14" s="33">
        <f>C11+C12+C13</f>
        <v>7934</v>
      </c>
      <c r="D14" s="33">
        <f>D11+D12+D13</f>
        <v>10659</v>
      </c>
      <c r="E14" s="33">
        <f>E11+E12+E13</f>
        <v>9137</v>
      </c>
      <c r="F14" s="33">
        <f aca="true" t="shared" si="2" ref="F14:K14">F11+F12+F13</f>
        <v>11197.29190763147</v>
      </c>
      <c r="G14" s="33">
        <f t="shared" si="2"/>
        <v>11858.52265799349</v>
      </c>
      <c r="H14" s="33">
        <f t="shared" si="2"/>
        <v>12460.998480103946</v>
      </c>
      <c r="I14" s="33">
        <f t="shared" si="2"/>
        <v>14208.933375512417</v>
      </c>
      <c r="J14" s="33">
        <f t="shared" si="2"/>
        <v>18028.674370648743</v>
      </c>
      <c r="K14" s="33">
        <f t="shared" si="2"/>
        <v>21121.02542144963</v>
      </c>
    </row>
    <row r="15" spans="1:11" ht="12.75">
      <c r="A15" s="9" t="s">
        <v>44</v>
      </c>
      <c r="B15" s="40">
        <v>2072</v>
      </c>
      <c r="C15" s="40">
        <v>2777</v>
      </c>
      <c r="D15" s="40">
        <v>3714</v>
      </c>
      <c r="E15" s="40">
        <v>3069</v>
      </c>
      <c r="F15" s="40">
        <f>F14*Assumptions!G12</f>
        <v>3919.052167671014</v>
      </c>
      <c r="G15" s="40">
        <f>G14*Assumptions!H12</f>
        <v>4150.482930297721</v>
      </c>
      <c r="H15" s="40">
        <f>H14*Assumptions!I12</f>
        <v>4361.349468036381</v>
      </c>
      <c r="I15" s="40">
        <f>I14*Assumptions!J12</f>
        <v>4973.126681429346</v>
      </c>
      <c r="J15" s="40">
        <f>J14*Assumptions!K12</f>
        <v>6310.03602972706</v>
      </c>
      <c r="K15" s="40">
        <f>K14*Assumptions!L12</f>
        <v>7392.35889750737</v>
      </c>
    </row>
    <row r="16" spans="1:11" ht="13.5" thickBot="1">
      <c r="A16" s="31" t="s">
        <v>52</v>
      </c>
      <c r="B16" s="36">
        <f>B14-B15</f>
        <v>3566</v>
      </c>
      <c r="C16" s="36">
        <f>C14-C15</f>
        <v>5157</v>
      </c>
      <c r="D16" s="36">
        <f>D14-D15</f>
        <v>6945</v>
      </c>
      <c r="E16" s="36">
        <f>E14-E15</f>
        <v>6068</v>
      </c>
      <c r="F16" s="36">
        <f aca="true" t="shared" si="3" ref="F16:K16">F14-F15</f>
        <v>7278.239739960456</v>
      </c>
      <c r="G16" s="36">
        <f t="shared" si="3"/>
        <v>7708.039727695768</v>
      </c>
      <c r="H16" s="36">
        <f t="shared" si="3"/>
        <v>8099.649012067565</v>
      </c>
      <c r="I16" s="36">
        <f t="shared" si="3"/>
        <v>9235.806694083072</v>
      </c>
      <c r="J16" s="36">
        <f t="shared" si="3"/>
        <v>11718.638340921683</v>
      </c>
      <c r="K16" s="36">
        <f t="shared" si="3"/>
        <v>13728.666523942262</v>
      </c>
    </row>
    <row r="17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&amp;L&amp;"Arial,Bold"&amp;12Intel Corporation&amp;R&amp;"Arial,Bold"&amp;A</oddHeader>
    <oddFooter>&amp;L&amp;D &amp;T&amp;Cpage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59"/>
  <sheetViews>
    <sheetView zoomScale="75" zoomScaleNormal="75" workbookViewId="0" topLeftCell="A1">
      <pane ySplit="2" topLeftCell="BM3" activePane="bottomLeft" state="frozen"/>
      <selection pane="topLeft" activeCell="I20" sqref="I20"/>
      <selection pane="bottomLeft" activeCell="J52" sqref="J52"/>
    </sheetView>
  </sheetViews>
  <sheetFormatPr defaultColWidth="9.140625" defaultRowHeight="12.75"/>
  <cols>
    <col min="1" max="1" width="28.140625" style="43" customWidth="1"/>
    <col min="2" max="5" width="10.00390625" style="1" hidden="1" customWidth="1"/>
    <col min="6" max="9" width="10.00390625" style="1" bestFit="1" customWidth="1"/>
    <col min="10" max="10" width="9.57421875" style="1" customWidth="1"/>
    <col min="11" max="11" width="8.8515625" style="1" customWidth="1"/>
    <col min="12" max="16384" width="19.00390625" style="1" customWidth="1"/>
  </cols>
  <sheetData>
    <row r="2" spans="1:11" ht="12.75">
      <c r="A2" s="59"/>
      <c r="B2" s="60">
        <v>1995</v>
      </c>
      <c r="C2" s="60">
        <v>1996</v>
      </c>
      <c r="D2" s="60">
        <v>1997</v>
      </c>
      <c r="E2" s="60">
        <v>1998</v>
      </c>
      <c r="F2" s="60">
        <v>1999</v>
      </c>
      <c r="G2" s="60">
        <v>2000</v>
      </c>
      <c r="H2" s="60">
        <v>2001</v>
      </c>
      <c r="I2" s="60">
        <v>2002</v>
      </c>
      <c r="J2" s="60">
        <v>2003</v>
      </c>
      <c r="K2" s="60">
        <v>2004</v>
      </c>
    </row>
    <row r="3" spans="1:11" ht="12.75">
      <c r="A3" s="66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51" t="s">
        <v>66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43" t="s">
        <v>48</v>
      </c>
      <c r="B6" s="1">
        <v>1463</v>
      </c>
      <c r="C6" s="1">
        <v>4165</v>
      </c>
      <c r="D6" s="1">
        <v>4102</v>
      </c>
      <c r="E6" s="4">
        <v>2038</v>
      </c>
      <c r="F6" s="37">
        <f aca="true" t="shared" si="0" ref="F6:K6">F59-F7-F8-F12-F13-F14-F15-F23-F25-F26</f>
        <v>2222.0032018586026</v>
      </c>
      <c r="G6" s="37">
        <f t="shared" si="0"/>
        <v>3159.8717731887173</v>
      </c>
      <c r="H6" s="37">
        <f t="shared" si="0"/>
        <v>3951.0971956069734</v>
      </c>
      <c r="I6" s="37">
        <f t="shared" si="0"/>
        <v>5856.984758629242</v>
      </c>
      <c r="J6" s="37">
        <f t="shared" si="0"/>
        <v>10360.359107094013</v>
      </c>
      <c r="K6" s="37">
        <f t="shared" si="0"/>
        <v>16400.370516441184</v>
      </c>
    </row>
    <row r="7" spans="1:11" ht="12.75">
      <c r="A7" s="43" t="s">
        <v>76</v>
      </c>
      <c r="B7" s="1">
        <v>995</v>
      </c>
      <c r="C7" s="1">
        <v>3742</v>
      </c>
      <c r="D7" s="1">
        <v>5630</v>
      </c>
      <c r="E7" s="4">
        <v>5272</v>
      </c>
      <c r="F7" s="37">
        <f>E7*(1+Assumptions!G22)</f>
        <v>4955.679999999999</v>
      </c>
      <c r="G7" s="37">
        <f>F7*(1+Assumptions!H22)</f>
        <v>4757.452799999999</v>
      </c>
      <c r="H7" s="37">
        <f>G7*(1+Assumptions!I22)</f>
        <v>4757.452799999999</v>
      </c>
      <c r="I7" s="37">
        <f>H7*(1+Assumptions!J22)</f>
        <v>4757.452799999999</v>
      </c>
      <c r="J7" s="37">
        <f>I7*(1+Assumptions!K22)</f>
        <v>4757.452799999999</v>
      </c>
      <c r="K7" s="37">
        <f>J7*(1+Assumptions!L22)</f>
        <v>4757.452799999999</v>
      </c>
    </row>
    <row r="8" spans="1:11" ht="12.75">
      <c r="A8" s="43" t="s">
        <v>12</v>
      </c>
      <c r="B8" s="1">
        <v>0</v>
      </c>
      <c r="C8" s="1">
        <v>87</v>
      </c>
      <c r="D8" s="1">
        <v>195</v>
      </c>
      <c r="E8" s="4">
        <v>316</v>
      </c>
      <c r="F8" s="37">
        <f>E8*(1+Assumptions!G23)</f>
        <v>316</v>
      </c>
      <c r="G8" s="37">
        <f>F8*(1+Assumptions!H23)</f>
        <v>316</v>
      </c>
      <c r="H8" s="37">
        <f>G8*(1+Assumptions!I23)</f>
        <v>316</v>
      </c>
      <c r="I8" s="37">
        <f>H8*(1+Assumptions!J23)</f>
        <v>316</v>
      </c>
      <c r="J8" s="37">
        <f>I8*(1+Assumptions!K23)</f>
        <v>316</v>
      </c>
      <c r="K8" s="37">
        <f>J8*(1+Assumptions!L23)</f>
        <v>316</v>
      </c>
    </row>
    <row r="9" spans="5:11" ht="3.75" customHeight="1">
      <c r="E9" s="4"/>
      <c r="F9" s="37"/>
      <c r="G9" s="37"/>
      <c r="H9" s="37"/>
      <c r="I9" s="37"/>
      <c r="J9" s="37"/>
      <c r="K9" s="37"/>
    </row>
    <row r="10" spans="1:11" ht="12.75">
      <c r="A10" s="43" t="s">
        <v>15</v>
      </c>
      <c r="B10" s="4">
        <f>B12-B11</f>
        <v>3173</v>
      </c>
      <c r="C10" s="4">
        <f>C12-C11</f>
        <v>3791</v>
      </c>
      <c r="D10" s="4">
        <f>D12-D11</f>
        <v>3503</v>
      </c>
      <c r="E10" s="4">
        <f>E12-E11</f>
        <v>3589</v>
      </c>
      <c r="F10" s="37">
        <f>E10*(1+Assumptions!G25)</f>
        <v>4079.2721805655992</v>
      </c>
      <c r="G10" s="37">
        <f>F10*(1+Assumptions!H25)</f>
        <v>4636.517560082591</v>
      </c>
      <c r="H10" s="37">
        <f>G10*(1+Assumptions!I25)</f>
        <v>5269.884953343217</v>
      </c>
      <c r="I10" s="37">
        <f>H10*(1+Assumptions!J25)</f>
        <v>5989.772940917867</v>
      </c>
      <c r="J10" s="37">
        <f>I10*(1+Assumptions!K25)</f>
        <v>6808.000592307287</v>
      </c>
      <c r="K10" s="37">
        <f>J10*(1+Assumptions!L25)</f>
        <v>7738.0015105804505</v>
      </c>
    </row>
    <row r="11" spans="1:11" ht="12.75">
      <c r="A11" s="43" t="s">
        <v>16</v>
      </c>
      <c r="B11" s="5">
        <v>-57</v>
      </c>
      <c r="C11" s="5">
        <v>-68</v>
      </c>
      <c r="D11" s="5">
        <v>-65</v>
      </c>
      <c r="E11" s="6">
        <v>-62</v>
      </c>
      <c r="F11" s="38">
        <f>F10*Assumptions!G26</f>
        <v>-73.15340688386247</v>
      </c>
      <c r="G11" s="38">
        <f>G10*Assumptions!H26</f>
        <v>-83.14646353160663</v>
      </c>
      <c r="H11" s="38">
        <f>H10*Assumptions!I26</f>
        <v>-94.50461287180136</v>
      </c>
      <c r="I11" s="38">
        <f>I10*Assumptions!J26</f>
        <v>-107.41433218809165</v>
      </c>
      <c r="J11" s="38">
        <f>J10*Assumptions!K26</f>
        <v>-122.08757232903713</v>
      </c>
      <c r="K11" s="38">
        <f>K10*Assumptions!L26</f>
        <v>-138.7652375019871</v>
      </c>
    </row>
    <row r="12" spans="1:11" ht="12.75">
      <c r="A12" s="52" t="s">
        <v>17</v>
      </c>
      <c r="B12" s="4">
        <v>3116</v>
      </c>
      <c r="C12" s="4">
        <v>3723</v>
      </c>
      <c r="D12" s="4">
        <v>3438</v>
      </c>
      <c r="E12" s="4">
        <f>3527</f>
        <v>3527</v>
      </c>
      <c r="F12" s="37">
        <f aca="true" t="shared" si="1" ref="F12:K12">SUM(F10:F11)</f>
        <v>4006.118773681737</v>
      </c>
      <c r="G12" s="37">
        <f t="shared" si="1"/>
        <v>4553.3710965509845</v>
      </c>
      <c r="H12" s="37">
        <f t="shared" si="1"/>
        <v>5175.380340471415</v>
      </c>
      <c r="I12" s="37">
        <f t="shared" si="1"/>
        <v>5882.358608729775</v>
      </c>
      <c r="J12" s="37">
        <f t="shared" si="1"/>
        <v>6685.913019978249</v>
      </c>
      <c r="K12" s="37">
        <f t="shared" si="1"/>
        <v>7599.2362730784635</v>
      </c>
    </row>
    <row r="13" spans="1:11" ht="12.75">
      <c r="A13" s="43" t="s">
        <v>1</v>
      </c>
      <c r="B13" s="1">
        <v>2004</v>
      </c>
      <c r="C13" s="1">
        <v>1293</v>
      </c>
      <c r="D13" s="1">
        <v>1697</v>
      </c>
      <c r="E13" s="4">
        <v>1582</v>
      </c>
      <c r="F13" s="37">
        <f>'Income Statement'!F6*Assumptions!G28</f>
        <v>1638.734240513834</v>
      </c>
      <c r="G13" s="37">
        <f>'Income Statement'!G6*Assumptions!H28</f>
        <v>1835.3823493754942</v>
      </c>
      <c r="H13" s="37">
        <f>'Income Statement'!H6*Assumptions!I28</f>
        <v>2076.604029579131</v>
      </c>
      <c r="I13" s="37">
        <f>'Income Statement'!I6*Assumptions!J28</f>
        <v>2232.349331797566</v>
      </c>
      <c r="J13" s="37">
        <f>'Income Statement'!J6*Assumptions!K28</f>
        <v>2325.7965131286273</v>
      </c>
      <c r="K13" s="37">
        <f>'Income Statement'!K6*Assumptions!L28</f>
        <v>2539.7697923364613</v>
      </c>
    </row>
    <row r="14" spans="1:11" ht="12.75">
      <c r="A14" s="43" t="s">
        <v>13</v>
      </c>
      <c r="B14" s="1">
        <v>408</v>
      </c>
      <c r="C14" s="1">
        <v>570</v>
      </c>
      <c r="D14" s="1">
        <v>676</v>
      </c>
      <c r="E14" s="4">
        <v>618</v>
      </c>
      <c r="F14" s="37">
        <f>'Income Statement'!F16*Assumptions!G29</f>
        <v>771.721308636957</v>
      </c>
      <c r="G14" s="37">
        <f>'Income Statement'!G16*Assumptions!H29</f>
        <v>817.2935652316602</v>
      </c>
      <c r="H14" s="37">
        <f>'Income Statement'!H16*Assumptions!I29</f>
        <v>858.8164114427452</v>
      </c>
      <c r="I14" s="37">
        <f>'Income Statement'!I16*Assumptions!J29</f>
        <v>979.284701099236</v>
      </c>
      <c r="J14" s="37">
        <f>'Income Statement'!J16*Assumptions!K29</f>
        <v>1242.5425980744674</v>
      </c>
      <c r="K14" s="37">
        <f>'Income Statement'!K16*Assumptions!L29</f>
        <v>1455.6685234656297</v>
      </c>
    </row>
    <row r="15" spans="1:11" ht="12.75">
      <c r="A15" s="53" t="s">
        <v>14</v>
      </c>
      <c r="B15" s="5">
        <v>111</v>
      </c>
      <c r="C15" s="5">
        <v>104</v>
      </c>
      <c r="D15" s="5">
        <v>129</v>
      </c>
      <c r="E15" s="6">
        <v>122</v>
      </c>
      <c r="F15" s="38">
        <f>E15*(1+Assumptions!G30)</f>
        <v>122</v>
      </c>
      <c r="G15" s="38">
        <f>F15*(1+Assumptions!H30)</f>
        <v>122</v>
      </c>
      <c r="H15" s="38">
        <f>G15*(1+Assumptions!I30)</f>
        <v>122</v>
      </c>
      <c r="I15" s="38">
        <f>H15*(1+Assumptions!J30)</f>
        <v>122</v>
      </c>
      <c r="J15" s="38">
        <f>I15*(1+Assumptions!K30)</f>
        <v>122</v>
      </c>
      <c r="K15" s="38">
        <f>J15*(1+Assumptions!L30)</f>
        <v>122</v>
      </c>
    </row>
    <row r="16" spans="1:11" ht="12.75">
      <c r="A16" s="43" t="s">
        <v>2</v>
      </c>
      <c r="B16" s="4">
        <f>SUM(B12:B15)+SUM(B6:B8)</f>
        <v>8097</v>
      </c>
      <c r="C16" s="4">
        <f>SUM(C12:C15)+SUM(C6:C8)</f>
        <v>13684</v>
      </c>
      <c r="D16" s="4">
        <f>SUM(D12:D15)+SUM(D6:D8)</f>
        <v>15867</v>
      </c>
      <c r="E16" s="4">
        <f>SUM(E12:E15)+SUM(E6:E8)</f>
        <v>13475</v>
      </c>
      <c r="F16" s="37">
        <f aca="true" t="shared" si="2" ref="F16:K16">SUM(F12:F15)+SUM(F6:F8)</f>
        <v>14032.25752469113</v>
      </c>
      <c r="G16" s="37">
        <f t="shared" si="2"/>
        <v>15561.371584346856</v>
      </c>
      <c r="H16" s="37">
        <f t="shared" si="2"/>
        <v>17257.350777100262</v>
      </c>
      <c r="I16" s="37">
        <f t="shared" si="2"/>
        <v>20146.430200255818</v>
      </c>
      <c r="J16" s="37">
        <f t="shared" si="2"/>
        <v>25810.064038275355</v>
      </c>
      <c r="K16" s="37">
        <f t="shared" si="2"/>
        <v>33190.49790532174</v>
      </c>
    </row>
    <row r="17" spans="3:11" ht="12.75">
      <c r="C17" s="17"/>
      <c r="D17" s="17"/>
      <c r="E17" s="17"/>
      <c r="F17" s="33"/>
      <c r="G17" s="33"/>
      <c r="H17" s="33"/>
      <c r="I17" s="33"/>
      <c r="J17" s="33"/>
      <c r="K17" s="33"/>
    </row>
    <row r="18" spans="1:11" ht="12.75">
      <c r="A18" s="43" t="s">
        <v>3</v>
      </c>
      <c r="B18" s="1">
        <f aca="true" t="shared" si="3" ref="B18:K18">SUM(B19:B20)</f>
        <v>10244</v>
      </c>
      <c r="C18" s="1">
        <f t="shared" si="3"/>
        <v>13101</v>
      </c>
      <c r="D18" s="1">
        <f t="shared" si="3"/>
        <v>15690</v>
      </c>
      <c r="E18" s="1">
        <f t="shared" si="3"/>
        <v>19446</v>
      </c>
      <c r="F18" s="33">
        <f t="shared" si="3"/>
        <v>22237.208000000006</v>
      </c>
      <c r="G18" s="33">
        <f t="shared" si="3"/>
        <v>24905.672960000004</v>
      </c>
      <c r="H18" s="33">
        <f t="shared" si="3"/>
        <v>27894.353715200006</v>
      </c>
      <c r="I18" s="33">
        <f t="shared" si="3"/>
        <v>31241.67616102401</v>
      </c>
      <c r="J18" s="33">
        <f t="shared" si="3"/>
        <v>34990.6773003469</v>
      </c>
      <c r="K18" s="33">
        <f t="shared" si="3"/>
        <v>39189.55857638853</v>
      </c>
    </row>
    <row r="19" spans="1:11" ht="12.75">
      <c r="A19" s="54" t="s">
        <v>19</v>
      </c>
      <c r="B19" s="1">
        <v>3145</v>
      </c>
      <c r="C19" s="1">
        <v>4372</v>
      </c>
      <c r="D19" s="1">
        <v>5113</v>
      </c>
      <c r="E19" s="1">
        <v>6297</v>
      </c>
      <c r="F19" s="33">
        <f aca="true" t="shared" si="4" ref="F19:K19">F23-SUM(F20:F22)</f>
        <v>6504.691200000003</v>
      </c>
      <c r="G19" s="33">
        <f t="shared" si="4"/>
        <v>7285.254144000004</v>
      </c>
      <c r="H19" s="33">
        <f t="shared" si="4"/>
        <v>8159.484641280002</v>
      </c>
      <c r="I19" s="33">
        <f t="shared" si="4"/>
        <v>9138.622798233602</v>
      </c>
      <c r="J19" s="33">
        <f t="shared" si="4"/>
        <v>10235.257534021639</v>
      </c>
      <c r="K19" s="33">
        <f t="shared" si="4"/>
        <v>11463.488438104236</v>
      </c>
    </row>
    <row r="20" spans="1:11" ht="12.75">
      <c r="A20" s="54" t="s">
        <v>81</v>
      </c>
      <c r="B20" s="1">
        <v>7099</v>
      </c>
      <c r="C20" s="1">
        <v>8729</v>
      </c>
      <c r="D20" s="1">
        <v>10577</v>
      </c>
      <c r="E20" s="1">
        <v>13149</v>
      </c>
      <c r="F20" s="33">
        <f>F$23*Assumptions!G33</f>
        <v>15732.516800000001</v>
      </c>
      <c r="G20" s="33">
        <f>G$23*Assumptions!H33</f>
        <v>17620.418816</v>
      </c>
      <c r="H20" s="33">
        <f>H$23*Assumptions!I33</f>
        <v>19734.869073920006</v>
      </c>
      <c r="I20" s="33">
        <f>I$23*Assumptions!J33</f>
        <v>22103.053362790408</v>
      </c>
      <c r="J20" s="33">
        <f>J$23*Assumptions!K33</f>
        <v>24755.41976632526</v>
      </c>
      <c r="K20" s="33">
        <f>K$23*Assumptions!L33</f>
        <v>27726.070138284293</v>
      </c>
    </row>
    <row r="21" spans="1:11" ht="12.75">
      <c r="A21" s="43" t="s">
        <v>18</v>
      </c>
      <c r="B21" s="1">
        <v>1548</v>
      </c>
      <c r="C21" s="1">
        <v>1161</v>
      </c>
      <c r="D21" s="1">
        <v>2437</v>
      </c>
      <c r="E21" s="1">
        <v>1622</v>
      </c>
      <c r="F21" s="33">
        <f>F$23*Assumptions!G34</f>
        <v>1816.6400000000003</v>
      </c>
      <c r="G21" s="33">
        <f>G$23*Assumptions!H34</f>
        <v>2034.6368000000004</v>
      </c>
      <c r="H21" s="33">
        <f>H$23*Assumptions!I34</f>
        <v>2278.793216000001</v>
      </c>
      <c r="I21" s="33">
        <f>I$23*Assumptions!J34</f>
        <v>2552.248401920001</v>
      </c>
      <c r="J21" s="33">
        <f>J$23*Assumptions!K34</f>
        <v>2858.5182101504015</v>
      </c>
      <c r="K21" s="33">
        <f>K$23*Assumptions!L34</f>
        <v>3201.54039536845</v>
      </c>
    </row>
    <row r="22" spans="1:11" ht="12.75">
      <c r="A22" s="53" t="s">
        <v>20</v>
      </c>
      <c r="B22" s="5">
        <v>-4321</v>
      </c>
      <c r="C22" s="5">
        <v>-5775</v>
      </c>
      <c r="D22" s="5">
        <v>-7461</v>
      </c>
      <c r="E22" s="5">
        <v>-9459</v>
      </c>
      <c r="F22" s="33">
        <f>F$23*Assumptions!G35</f>
        <v>-11051.768000000002</v>
      </c>
      <c r="G22" s="33">
        <f>G$23*Assumptions!H35</f>
        <v>-12377.980160000003</v>
      </c>
      <c r="H22" s="33">
        <f>H$23*Assumptions!I35</f>
        <v>-13863.337779200005</v>
      </c>
      <c r="I22" s="33">
        <f>I$23*Assumptions!J35</f>
        <v>-15526.938312704006</v>
      </c>
      <c r="J22" s="33">
        <f>J$23*Assumptions!K35</f>
        <v>-17390.170910228488</v>
      </c>
      <c r="K22" s="33">
        <f>K$23*Assumptions!L35</f>
        <v>-19476.99141945591</v>
      </c>
    </row>
    <row r="23" spans="1:11" ht="12.75">
      <c r="A23" s="43" t="s">
        <v>21</v>
      </c>
      <c r="B23" s="1">
        <f>SUM(B19:B22)</f>
        <v>7471</v>
      </c>
      <c r="C23" s="1">
        <f>SUM(C19:C22)</f>
        <v>8487</v>
      </c>
      <c r="D23" s="1">
        <f>SUM(D19:D22)</f>
        <v>10666</v>
      </c>
      <c r="E23" s="1">
        <f>SUM(E19:E22)</f>
        <v>11609</v>
      </c>
      <c r="F23" s="35">
        <f>E23*(1+Assumptions!G36)</f>
        <v>13002.080000000002</v>
      </c>
      <c r="G23" s="35">
        <f>F23*(1+Assumptions!H36)</f>
        <v>14562.329600000003</v>
      </c>
      <c r="H23" s="35">
        <f>G23*(1+Assumptions!I36)</f>
        <v>16309.809152000005</v>
      </c>
      <c r="I23" s="35">
        <f>H23*(1+Assumptions!J36)</f>
        <v>18266.986250240006</v>
      </c>
      <c r="J23" s="35">
        <f>I23*(1+Assumptions!K36)</f>
        <v>20459.02460026881</v>
      </c>
      <c r="K23" s="35">
        <f>J23*(1+Assumptions!L36)</f>
        <v>22914.10755230107</v>
      </c>
    </row>
    <row r="24" spans="3:11" ht="12.75">
      <c r="C24" s="17"/>
      <c r="D24" s="17"/>
      <c r="E24" s="17"/>
      <c r="F24" s="33"/>
      <c r="G24" s="33"/>
      <c r="H24" s="33"/>
      <c r="I24" s="33"/>
      <c r="J24" s="33"/>
      <c r="K24" s="33"/>
    </row>
    <row r="25" spans="1:11" ht="12.75">
      <c r="A25" s="43" t="s">
        <v>22</v>
      </c>
      <c r="B25" s="1">
        <v>1653</v>
      </c>
      <c r="C25" s="1">
        <v>1353</v>
      </c>
      <c r="D25" s="1">
        <v>1839</v>
      </c>
      <c r="E25" s="1">
        <v>5365</v>
      </c>
      <c r="F25" s="33">
        <f>E25*(1+Assumptions!G38)</f>
        <v>5365</v>
      </c>
      <c r="G25" s="33">
        <f>F25*(1+Assumptions!H38)</f>
        <v>5365</v>
      </c>
      <c r="H25" s="33">
        <f>G25*(1+Assumptions!I38)</f>
        <v>5365</v>
      </c>
      <c r="I25" s="33">
        <f>H25*(1+Assumptions!J38)</f>
        <v>5365</v>
      </c>
      <c r="J25" s="33">
        <f>I25*(1+Assumptions!K38)</f>
        <v>5365</v>
      </c>
      <c r="K25" s="33">
        <f>J25*(1+Assumptions!L38)</f>
        <v>5365</v>
      </c>
    </row>
    <row r="26" spans="1:11" ht="12.75">
      <c r="A26" s="45" t="s">
        <v>23</v>
      </c>
      <c r="B26" s="10">
        <v>283</v>
      </c>
      <c r="C26" s="10">
        <v>211</v>
      </c>
      <c r="D26" s="10">
        <v>508</v>
      </c>
      <c r="E26" s="10">
        <v>1022</v>
      </c>
      <c r="F26" s="33">
        <f>E26*(1+Assumptions!G39)</f>
        <v>1022</v>
      </c>
      <c r="G26" s="33">
        <f>F26*(1+Assumptions!H39)</f>
        <v>1022</v>
      </c>
      <c r="H26" s="33">
        <f>G26*(1+Assumptions!I39)</f>
        <v>1022</v>
      </c>
      <c r="I26" s="33">
        <f>H26*(1+Assumptions!J39)</f>
        <v>1022</v>
      </c>
      <c r="J26" s="33">
        <f>I26*(1+Assumptions!K39)</f>
        <v>1022</v>
      </c>
      <c r="K26" s="33">
        <f>J26*(1+Assumptions!L39)</f>
        <v>1022</v>
      </c>
    </row>
    <row r="27" spans="1:11" ht="12.75">
      <c r="A27" s="53"/>
      <c r="B27" s="5"/>
      <c r="C27" s="5"/>
      <c r="D27" s="5"/>
      <c r="E27" s="5"/>
      <c r="F27" s="33"/>
      <c r="G27" s="33"/>
      <c r="H27" s="33"/>
      <c r="I27" s="33"/>
      <c r="J27" s="33"/>
      <c r="K27" s="33"/>
    </row>
    <row r="28" spans="1:11" ht="13.5" thickBot="1">
      <c r="A28" s="55" t="s">
        <v>4</v>
      </c>
      <c r="B28" s="56">
        <f aca="true" t="shared" si="5" ref="B28:K28">SUM(B26+B25+B23+B16)</f>
        <v>17504</v>
      </c>
      <c r="C28" s="56">
        <f t="shared" si="5"/>
        <v>23735</v>
      </c>
      <c r="D28" s="56">
        <f t="shared" si="5"/>
        <v>28880</v>
      </c>
      <c r="E28" s="56">
        <f t="shared" si="5"/>
        <v>31471</v>
      </c>
      <c r="F28" s="36">
        <f t="shared" si="5"/>
        <v>33421.33752469113</v>
      </c>
      <c r="G28" s="36">
        <f t="shared" si="5"/>
        <v>36510.701184346864</v>
      </c>
      <c r="H28" s="36">
        <f t="shared" si="5"/>
        <v>39954.159929100264</v>
      </c>
      <c r="I28" s="36">
        <f t="shared" si="5"/>
        <v>44800.416450495824</v>
      </c>
      <c r="J28" s="36">
        <f t="shared" si="5"/>
        <v>52656.08863854417</v>
      </c>
      <c r="K28" s="36">
        <f t="shared" si="5"/>
        <v>62491.605457622805</v>
      </c>
    </row>
    <row r="29" spans="1:11" ht="13.5" thickTop="1">
      <c r="A29" s="45"/>
      <c r="B29" s="10"/>
      <c r="C29" s="10"/>
      <c r="D29" s="10"/>
      <c r="E29" s="10"/>
      <c r="F29" s="39"/>
      <c r="G29" s="39"/>
      <c r="H29" s="39"/>
      <c r="I29" s="39"/>
      <c r="J29" s="39"/>
      <c r="K29" s="39"/>
    </row>
    <row r="30" spans="6:11" ht="12.75">
      <c r="F30" s="33"/>
      <c r="G30" s="33"/>
      <c r="H30" s="33"/>
      <c r="I30" s="33"/>
      <c r="J30" s="33"/>
      <c r="K30" s="33"/>
    </row>
    <row r="31" spans="1:11" ht="12.75">
      <c r="A31" s="50" t="s">
        <v>24</v>
      </c>
      <c r="F31" s="33"/>
      <c r="G31" s="33"/>
      <c r="H31" s="33"/>
      <c r="I31" s="33"/>
      <c r="J31" s="33"/>
      <c r="K31" s="33"/>
    </row>
    <row r="32" spans="6:11" ht="12.75">
      <c r="F32" s="33"/>
      <c r="G32" s="33"/>
      <c r="H32" s="33"/>
      <c r="I32" s="33"/>
      <c r="J32" s="33"/>
      <c r="K32" s="33"/>
    </row>
    <row r="33" spans="1:11" ht="12.75">
      <c r="A33" s="43" t="s">
        <v>78</v>
      </c>
      <c r="B33" s="1">
        <v>346</v>
      </c>
      <c r="C33" s="1">
        <v>389</v>
      </c>
      <c r="D33" s="1">
        <v>212</v>
      </c>
      <c r="E33" s="1">
        <v>159</v>
      </c>
      <c r="F33" s="33">
        <f>E33*(1+Assumptions!G42)</f>
        <v>159</v>
      </c>
      <c r="G33" s="33">
        <f>F33*(1+Assumptions!H42)</f>
        <v>159</v>
      </c>
      <c r="H33" s="33">
        <f>G33*(1+Assumptions!I42)</f>
        <v>159</v>
      </c>
      <c r="I33" s="33">
        <f>H33*(1+Assumptions!J42)</f>
        <v>159</v>
      </c>
      <c r="J33" s="33">
        <f>I33*(1+Assumptions!K42)</f>
        <v>159</v>
      </c>
      <c r="K33" s="33">
        <f>J33*(1+Assumptions!L42)</f>
        <v>159</v>
      </c>
    </row>
    <row r="34" spans="1:11" ht="12.75">
      <c r="A34" s="43" t="s">
        <v>25</v>
      </c>
      <c r="D34" s="1">
        <v>110</v>
      </c>
      <c r="E34" s="1">
        <v>0</v>
      </c>
      <c r="F34" s="33">
        <f>E34*(1+Assumptions!G43)</f>
        <v>0</v>
      </c>
      <c r="G34" s="33">
        <f>F34*(1+Assumptions!H43)</f>
        <v>0</v>
      </c>
      <c r="H34" s="33">
        <f>G34*(1+Assumptions!I43)</f>
        <v>0</v>
      </c>
      <c r="I34" s="33">
        <f>H34*(1+Assumptions!J43)</f>
        <v>0</v>
      </c>
      <c r="J34" s="33">
        <f>I34*(1+Assumptions!K43)</f>
        <v>0</v>
      </c>
      <c r="K34" s="33">
        <f>J34*(1+Assumptions!L43)</f>
        <v>0</v>
      </c>
    </row>
    <row r="35" spans="1:11" ht="12.75">
      <c r="A35" s="43" t="s">
        <v>5</v>
      </c>
      <c r="B35" s="1">
        <v>864</v>
      </c>
      <c r="C35" s="1">
        <v>969</v>
      </c>
      <c r="D35" s="1">
        <v>1407</v>
      </c>
      <c r="E35" s="1">
        <v>1244</v>
      </c>
      <c r="F35" s="37">
        <f>'Income Statement'!F6*Assumptions!G44</f>
        <v>1447.488755684341</v>
      </c>
      <c r="G35" s="37">
        <f>'Income Statement'!G6*Assumptions!H44</f>
        <v>1621.187406366462</v>
      </c>
      <c r="H35" s="37">
        <f>'Income Statement'!H6*Assumptions!I44</f>
        <v>1834.2577512031971</v>
      </c>
      <c r="I35" s="37">
        <f>'Income Statement'!I6*Assumptions!J44</f>
        <v>1971.8270825434372</v>
      </c>
      <c r="J35" s="37">
        <f>'Income Statement'!J6*Assumptions!K44</f>
        <v>2054.3686813475815</v>
      </c>
      <c r="K35" s="37">
        <f>'Income Statement'!K6*Assumptions!L44</f>
        <v>2243.370600031559</v>
      </c>
    </row>
    <row r="36" spans="1:11" ht="12.75">
      <c r="A36" s="43" t="s">
        <v>26</v>
      </c>
      <c r="B36" s="1">
        <v>758</v>
      </c>
      <c r="C36" s="1">
        <v>1128</v>
      </c>
      <c r="D36" s="1">
        <v>1268</v>
      </c>
      <c r="E36" s="1">
        <v>1285</v>
      </c>
      <c r="F36" s="33">
        <f>E36*(1+Assumptions!G45)</f>
        <v>1285</v>
      </c>
      <c r="G36" s="33">
        <f>F36*(1+Assumptions!H45)</f>
        <v>1285</v>
      </c>
      <c r="H36" s="33">
        <f>G36*(1+Assumptions!I45)</f>
        <v>1285</v>
      </c>
      <c r="I36" s="33">
        <f>H36*(1+Assumptions!J45)</f>
        <v>1285</v>
      </c>
      <c r="J36" s="33">
        <f>I36*(1+Assumptions!K45)</f>
        <v>1285</v>
      </c>
      <c r="K36" s="33">
        <f>J36*(1+Assumptions!L45)</f>
        <v>1285</v>
      </c>
    </row>
    <row r="37" spans="1:11" ht="25.5">
      <c r="A37" s="43" t="s">
        <v>27</v>
      </c>
      <c r="B37" s="1">
        <v>304</v>
      </c>
      <c r="C37" s="1">
        <v>474</v>
      </c>
      <c r="D37" s="1">
        <v>516</v>
      </c>
      <c r="E37" s="1">
        <v>606</v>
      </c>
      <c r="F37" s="33">
        <f>'Income Statement'!F4*Assumptions!G46</f>
        <v>637.572174338119</v>
      </c>
      <c r="G37" s="33">
        <f>'Income Statement'!G4*Assumptions!H46</f>
        <v>714.0808352586934</v>
      </c>
      <c r="H37" s="33">
        <f>'Income Statement'!H4*Assumptions!I46</f>
        <v>771.2073020793889</v>
      </c>
      <c r="I37" s="33">
        <f>'Income Statement'!I4*Assumptions!J46</f>
        <v>848.3280322873278</v>
      </c>
      <c r="J37" s="33">
        <f>'Income Statement'!J4*Assumptions!K46</f>
        <v>950.1273961618073</v>
      </c>
      <c r="K37" s="33">
        <f>'Income Statement'!K4*Assumptions!L46</f>
        <v>1064.1426837012243</v>
      </c>
    </row>
    <row r="38" spans="1:11" ht="12.75">
      <c r="A38" s="43" t="s">
        <v>28</v>
      </c>
      <c r="B38" s="1">
        <v>218</v>
      </c>
      <c r="C38" s="1">
        <v>410</v>
      </c>
      <c r="D38" s="1">
        <v>500</v>
      </c>
      <c r="E38" s="1">
        <v>458</v>
      </c>
      <c r="F38" s="33">
        <f>'Income Statement'!F4*Assumptions!G47</f>
        <v>527.8807335157645</v>
      </c>
      <c r="G38" s="33">
        <f>'Income Statement'!G4*Assumptions!H47</f>
        <v>591.2264215376563</v>
      </c>
      <c r="H38" s="33">
        <f>'Income Statement'!H4*Assumptions!I47</f>
        <v>638.5245352606689</v>
      </c>
      <c r="I38" s="33">
        <f>'Income Statement'!I4*Assumptions!J47</f>
        <v>702.3769887867359</v>
      </c>
      <c r="J38" s="33">
        <f>'Income Statement'!J4*Assumptions!K47</f>
        <v>786.6622274411442</v>
      </c>
      <c r="K38" s="33">
        <f>'Income Statement'!K4*Assumptions!L47</f>
        <v>881.0616947340816</v>
      </c>
    </row>
    <row r="39" spans="1:11" ht="12.75">
      <c r="A39" s="43" t="s">
        <v>29</v>
      </c>
      <c r="B39" s="1">
        <v>328</v>
      </c>
      <c r="C39" s="1">
        <v>507</v>
      </c>
      <c r="D39" s="1">
        <v>842</v>
      </c>
      <c r="E39" s="1">
        <v>1094</v>
      </c>
      <c r="F39" s="33">
        <f>'Income Statement'!F4*Assumptions!G48</f>
        <v>896.9651028842359</v>
      </c>
      <c r="G39" s="33">
        <f>'Income Statement'!G4*Assumptions!H48</f>
        <v>1004.6009152303442</v>
      </c>
      <c r="H39" s="33">
        <f>'Income Statement'!H4*Assumptions!I48</f>
        <v>1084.9689884487718</v>
      </c>
      <c r="I39" s="33">
        <f>'Income Statement'!I4*Assumptions!J48</f>
        <v>1193.465887293649</v>
      </c>
      <c r="J39" s="33">
        <f>'Income Statement'!J4*Assumptions!K48</f>
        <v>1336.6817937688872</v>
      </c>
      <c r="K39" s="33">
        <f>'Income Statement'!K4*Assumptions!L48</f>
        <v>1497.0836090211537</v>
      </c>
    </row>
    <row r="40" spans="1:11" ht="12.75">
      <c r="A40" s="53" t="s">
        <v>30</v>
      </c>
      <c r="B40" s="5">
        <v>801</v>
      </c>
      <c r="C40" s="5">
        <v>986</v>
      </c>
      <c r="D40" s="5">
        <v>1165</v>
      </c>
      <c r="E40" s="5">
        <v>958</v>
      </c>
      <c r="F40" s="40">
        <f>'Income Statement'!F14*Assumptions!G49</f>
        <v>1345.0541253439471</v>
      </c>
      <c r="G40" s="40">
        <f>'Income Statement'!G14*Assumptions!H49</f>
        <v>1424.4832548080585</v>
      </c>
      <c r="H40" s="40">
        <f>'Income Statement'!H14*Assumptions!I49</f>
        <v>1496.8545564258502</v>
      </c>
      <c r="I40" s="40">
        <f>'Income Statement'!I14*Assumptions!J49</f>
        <v>1706.8220254617736</v>
      </c>
      <c r="J40" s="40">
        <f>'Income Statement'!J14*Assumptions!K49</f>
        <v>2165.661397127336</v>
      </c>
      <c r="K40" s="40">
        <f>'Income Statement'!K14*Assumptions!L49</f>
        <v>2537.1243876613785</v>
      </c>
    </row>
    <row r="41" spans="1:11" ht="12.75">
      <c r="A41" s="43" t="s">
        <v>31</v>
      </c>
      <c r="B41" s="1">
        <f aca="true" t="shared" si="6" ref="B41:K41">SUM(B33:B40)</f>
        <v>3619</v>
      </c>
      <c r="C41" s="1">
        <f t="shared" si="6"/>
        <v>4863</v>
      </c>
      <c r="D41" s="1">
        <f t="shared" si="6"/>
        <v>6020</v>
      </c>
      <c r="E41" s="1">
        <f t="shared" si="6"/>
        <v>5804</v>
      </c>
      <c r="F41" s="33">
        <f t="shared" si="6"/>
        <v>6298.960891766407</v>
      </c>
      <c r="G41" s="33">
        <f t="shared" si="6"/>
        <v>6799.578833201214</v>
      </c>
      <c r="H41" s="33">
        <f t="shared" si="6"/>
        <v>7269.813133417877</v>
      </c>
      <c r="I41" s="33">
        <f t="shared" si="6"/>
        <v>7866.820016372923</v>
      </c>
      <c r="J41" s="33">
        <f t="shared" si="6"/>
        <v>8737.501495846756</v>
      </c>
      <c r="K41" s="33">
        <f t="shared" si="6"/>
        <v>9666.782975149397</v>
      </c>
    </row>
    <row r="42" spans="6:11" ht="12.75">
      <c r="F42" s="33"/>
      <c r="G42" s="33"/>
      <c r="H42" s="33"/>
      <c r="I42" s="33"/>
      <c r="J42" s="33"/>
      <c r="K42" s="33"/>
    </row>
    <row r="43" spans="1:11" ht="12.75">
      <c r="A43" s="43" t="s">
        <v>6</v>
      </c>
      <c r="B43" s="1">
        <v>400</v>
      </c>
      <c r="C43" s="1">
        <v>728</v>
      </c>
      <c r="D43" s="1">
        <v>448</v>
      </c>
      <c r="E43" s="1">
        <v>702</v>
      </c>
      <c r="F43" s="33">
        <f>E43*(1+Assumptions!G51)</f>
        <v>702</v>
      </c>
      <c r="G43" s="33">
        <f>F43*(1+Assumptions!H51)</f>
        <v>702</v>
      </c>
      <c r="H43" s="33">
        <f>G43*(1+Assumptions!I51)</f>
        <v>702</v>
      </c>
      <c r="I43" s="33">
        <f>H43*(1+Assumptions!J51)</f>
        <v>702</v>
      </c>
      <c r="J43" s="33">
        <f>I43*(1+Assumptions!K51)</f>
        <v>702</v>
      </c>
      <c r="K43" s="33">
        <f>J43*(1+Assumptions!L51)</f>
        <v>702</v>
      </c>
    </row>
    <row r="44" spans="1:11" ht="12.75">
      <c r="A44" s="43" t="s">
        <v>32</v>
      </c>
      <c r="B44" s="1">
        <v>620</v>
      </c>
      <c r="C44" s="1">
        <v>997</v>
      </c>
      <c r="D44" s="1">
        <v>1076</v>
      </c>
      <c r="E44" s="1">
        <v>1387</v>
      </c>
      <c r="F44" s="33">
        <f>'Income Statement'!F14*Assumptions!G52</f>
        <v>1367.1269479642704</v>
      </c>
      <c r="G44" s="33">
        <f>'Income Statement'!G14*Assumptions!H52</f>
        <v>1447.859538049418</v>
      </c>
      <c r="H44" s="33">
        <f>'Income Statement'!H14*Assumptions!I52</f>
        <v>1521.4184787913996</v>
      </c>
      <c r="I44" s="33">
        <f>'Income Statement'!I14*Assumptions!J52</f>
        <v>1734.8315896143276</v>
      </c>
      <c r="J44" s="33">
        <f>'Income Statement'!J14*Assumptions!K52</f>
        <v>2201.2006806206673</v>
      </c>
      <c r="K44" s="33">
        <f>'Income Statement'!K14*Assumptions!L52</f>
        <v>2578.7595126123733</v>
      </c>
    </row>
    <row r="45" spans="1:11" ht="12.75">
      <c r="A45" s="43" t="s">
        <v>33</v>
      </c>
      <c r="B45" s="1">
        <v>725</v>
      </c>
      <c r="C45" s="1">
        <v>275</v>
      </c>
      <c r="D45" s="1">
        <v>2041</v>
      </c>
      <c r="E45" s="1">
        <v>201</v>
      </c>
      <c r="F45" s="33">
        <f>E45*(1+Assumptions!G53)</f>
        <v>201</v>
      </c>
      <c r="G45" s="33">
        <f>F45*(1+Assumptions!H53)</f>
        <v>201</v>
      </c>
      <c r="H45" s="33">
        <f>G45*(1+Assumptions!I53)</f>
        <v>201</v>
      </c>
      <c r="I45" s="33">
        <f>H45*(1+Assumptions!J53)</f>
        <v>201</v>
      </c>
      <c r="J45" s="33">
        <f>I45*(1+Assumptions!K53)</f>
        <v>201</v>
      </c>
      <c r="K45" s="33">
        <f>J45*(1+Assumptions!L53)</f>
        <v>201</v>
      </c>
    </row>
    <row r="46" spans="1:11" ht="12.75">
      <c r="A46" s="57" t="s">
        <v>7</v>
      </c>
      <c r="B46" s="58">
        <f aca="true" t="shared" si="7" ref="B46:K46">SUM(B43:B45)+B41</f>
        <v>5364</v>
      </c>
      <c r="C46" s="58">
        <f t="shared" si="7"/>
        <v>6863</v>
      </c>
      <c r="D46" s="58">
        <f t="shared" si="7"/>
        <v>9585</v>
      </c>
      <c r="E46" s="58">
        <f t="shared" si="7"/>
        <v>8094</v>
      </c>
      <c r="F46" s="34">
        <f t="shared" si="7"/>
        <v>8569.087839730677</v>
      </c>
      <c r="G46" s="34">
        <f t="shared" si="7"/>
        <v>9150.438371250631</v>
      </c>
      <c r="H46" s="34">
        <f t="shared" si="7"/>
        <v>9694.231612209276</v>
      </c>
      <c r="I46" s="34">
        <f t="shared" si="7"/>
        <v>10504.651605987252</v>
      </c>
      <c r="J46" s="34">
        <f t="shared" si="7"/>
        <v>11841.702176467425</v>
      </c>
      <c r="K46" s="34">
        <f t="shared" si="7"/>
        <v>13148.54248776177</v>
      </c>
    </row>
    <row r="47" spans="6:11" ht="12.75">
      <c r="F47" s="33"/>
      <c r="G47" s="33"/>
      <c r="H47" s="33"/>
      <c r="I47" s="33"/>
      <c r="J47" s="33"/>
      <c r="K47" s="33"/>
    </row>
    <row r="48" spans="1:11" ht="12.75">
      <c r="A48" s="50" t="s">
        <v>34</v>
      </c>
      <c r="F48" s="33"/>
      <c r="G48" s="33"/>
      <c r="H48" s="33"/>
      <c r="I48" s="33"/>
      <c r="J48" s="33"/>
      <c r="K48" s="33"/>
    </row>
    <row r="49" spans="6:11" ht="12.75">
      <c r="F49" s="33"/>
      <c r="G49" s="33"/>
      <c r="H49" s="33"/>
      <c r="I49" s="33"/>
      <c r="J49" s="33"/>
      <c r="K49" s="33"/>
    </row>
    <row r="50" spans="1:11" ht="25.5">
      <c r="A50" s="43" t="s">
        <v>35</v>
      </c>
      <c r="B50" s="1">
        <v>0</v>
      </c>
      <c r="C50" s="1">
        <v>0</v>
      </c>
      <c r="D50" s="1">
        <v>0</v>
      </c>
      <c r="E50" s="1">
        <v>0</v>
      </c>
      <c r="F50" s="33">
        <f>E50*(1+Assumptions!G56)</f>
        <v>0</v>
      </c>
      <c r="G50" s="33">
        <f>F50*(1+Assumptions!H56)</f>
        <v>0</v>
      </c>
      <c r="H50" s="33">
        <f>G50*(1+Assumptions!I56)</f>
        <v>0</v>
      </c>
      <c r="I50" s="33">
        <f>H50*(1+Assumptions!J56)</f>
        <v>0</v>
      </c>
      <c r="J50" s="33">
        <f>I50*(1+Assumptions!K56)</f>
        <v>0</v>
      </c>
      <c r="K50" s="33">
        <f>J50*(1+Assumptions!L56)</f>
        <v>0</v>
      </c>
    </row>
    <row r="51" spans="1:11" ht="25.5">
      <c r="A51" s="43" t="s">
        <v>36</v>
      </c>
      <c r="B51" s="1">
        <v>0</v>
      </c>
      <c r="C51" s="1">
        <v>0</v>
      </c>
      <c r="D51" s="1">
        <v>0</v>
      </c>
      <c r="E51" s="1">
        <v>0</v>
      </c>
      <c r="F51" s="33">
        <f>E51*(1+Assumptions!G57)</f>
        <v>0</v>
      </c>
      <c r="G51" s="33">
        <f>F51*(1+Assumptions!H57)</f>
        <v>0</v>
      </c>
      <c r="H51" s="33">
        <f>G51*(1+Assumptions!I57)</f>
        <v>0</v>
      </c>
      <c r="I51" s="33">
        <f>H51*(1+Assumptions!J57)</f>
        <v>0</v>
      </c>
      <c r="J51" s="33">
        <f>I51*(1+Assumptions!K57)</f>
        <v>0</v>
      </c>
      <c r="K51" s="33">
        <f>J51*(1+Assumptions!L57)</f>
        <v>0</v>
      </c>
    </row>
    <row r="52" spans="1:11" ht="25.5">
      <c r="A52" s="43" t="s">
        <v>38</v>
      </c>
      <c r="B52" s="1">
        <f>B53*0.001</f>
        <v>0.8210000000000001</v>
      </c>
      <c r="C52" s="1">
        <f aca="true" t="shared" si="8" ref="C52:K52">C53*0.001</f>
        <v>0.8210000000000001</v>
      </c>
      <c r="D52" s="1">
        <f t="shared" si="8"/>
        <v>3.2560000000000002</v>
      </c>
      <c r="E52" s="1">
        <f t="shared" si="8"/>
        <v>3.315</v>
      </c>
      <c r="F52" s="33">
        <f t="shared" si="8"/>
        <v>3.3249449999999996</v>
      </c>
      <c r="G52" s="33">
        <f t="shared" si="8"/>
        <v>3.29834544</v>
      </c>
      <c r="H52" s="33">
        <f t="shared" si="8"/>
        <v>3.3148371671999994</v>
      </c>
      <c r="I52" s="33">
        <f t="shared" si="8"/>
        <v>3.344670701704799</v>
      </c>
      <c r="J52" s="33">
        <f t="shared" si="8"/>
        <v>3.327947348196275</v>
      </c>
      <c r="K52" s="33">
        <f t="shared" si="8"/>
        <v>3.3379311902408637</v>
      </c>
    </row>
    <row r="53" spans="1:11" ht="25.5">
      <c r="A53" s="67" t="s">
        <v>69</v>
      </c>
      <c r="B53" s="29">
        <v>821</v>
      </c>
      <c r="C53" s="29">
        <v>821</v>
      </c>
      <c r="D53" s="30">
        <v>3256</v>
      </c>
      <c r="E53" s="30">
        <v>3315</v>
      </c>
      <c r="F53" s="41">
        <f>E53*(1+Assumptions!G59)</f>
        <v>3324.9449999999997</v>
      </c>
      <c r="G53" s="41">
        <f>F53*(1+Assumptions!H59)</f>
        <v>3298.3454399999996</v>
      </c>
      <c r="H53" s="41">
        <f>G53*(1+Assumptions!I59)</f>
        <v>3314.8371671999994</v>
      </c>
      <c r="I53" s="41">
        <f>H53*(1+Assumptions!J59)</f>
        <v>3344.670701704799</v>
      </c>
      <c r="J53" s="41">
        <f>I53*(1+Assumptions!K59)</f>
        <v>3327.947348196275</v>
      </c>
      <c r="K53" s="41">
        <f>J53*(1+Assumptions!L59)</f>
        <v>3337.9311902408635</v>
      </c>
    </row>
    <row r="54" spans="1:11" ht="12.75">
      <c r="A54" s="43" t="s">
        <v>39</v>
      </c>
      <c r="B54" s="1">
        <f>2583-B53*0.001</f>
        <v>2582.179</v>
      </c>
      <c r="C54" s="1">
        <f>2897-C53*0.001</f>
        <v>2896.179</v>
      </c>
      <c r="D54" s="4">
        <f>3311-D53*0.001</f>
        <v>3307.744</v>
      </c>
      <c r="E54" s="4">
        <f>4822-E53*0.001</f>
        <v>4818.685</v>
      </c>
      <c r="F54" s="33">
        <f>E54*(1+Assumptions!G60)</f>
        <v>4818.685</v>
      </c>
      <c r="G54" s="33">
        <f>F54*(1+Assumptions!H60)</f>
        <v>4818.685</v>
      </c>
      <c r="H54" s="33">
        <f>G54*(1+Assumptions!I60)</f>
        <v>4818.685</v>
      </c>
      <c r="I54" s="33">
        <f>H54*(1+Assumptions!J60)</f>
        <v>4818.685</v>
      </c>
      <c r="J54" s="33">
        <f>I54*(1+Assumptions!K60)</f>
        <v>4818.685</v>
      </c>
      <c r="K54" s="33">
        <f>J54*(1+Assumptions!L60)</f>
        <v>4818.685</v>
      </c>
    </row>
    <row r="55" spans="1:11" ht="12.75">
      <c r="A55" s="43" t="s">
        <v>8</v>
      </c>
      <c r="B55" s="1">
        <v>9557</v>
      </c>
      <c r="C55" s="1">
        <v>13975</v>
      </c>
      <c r="D55" s="1">
        <v>15926</v>
      </c>
      <c r="E55" s="1">
        <v>17952</v>
      </c>
      <c r="F55" s="33">
        <f>E55+'Income Statement'!F16+'Cash Flow Statement'!F34+'Cash Flow Statement'!F35</f>
        <v>20030.239739960456</v>
      </c>
      <c r="G55" s="33">
        <f>F55+'Income Statement'!G16+'Cash Flow Statement'!G34+'Cash Flow Statement'!G35</f>
        <v>22538.279467656226</v>
      </c>
      <c r="H55" s="33">
        <f>G55+'Income Statement'!H16+'Cash Flow Statement'!H34+'Cash Flow Statement'!H35</f>
        <v>25437.928479723792</v>
      </c>
      <c r="I55" s="33">
        <f>H55+'Income Statement'!I16+'Cash Flow Statement'!I34+'Cash Flow Statement'!I35</f>
        <v>29473.73517380687</v>
      </c>
      <c r="J55" s="33">
        <f>I55+'Income Statement'!J16+'Cash Flow Statement'!J34+'Cash Flow Statement'!J35</f>
        <v>35992.37351472855</v>
      </c>
      <c r="K55" s="33">
        <f>J55+'Income Statement'!K16+'Cash Flow Statement'!K34+'Cash Flow Statement'!K35</f>
        <v>44521.040038670806</v>
      </c>
    </row>
    <row r="56" spans="1:11" ht="25.5">
      <c r="A56" s="53" t="s">
        <v>40</v>
      </c>
      <c r="B56" s="5">
        <v>0</v>
      </c>
      <c r="C56" s="5">
        <v>0</v>
      </c>
      <c r="D56" s="5">
        <v>58</v>
      </c>
      <c r="E56" s="5">
        <v>603</v>
      </c>
      <c r="F56" s="33">
        <f>E56*(1+Assumptions!G61)</f>
        <v>0</v>
      </c>
      <c r="G56" s="33">
        <f>F56*(1+Assumptions!H61)</f>
        <v>0</v>
      </c>
      <c r="H56" s="33">
        <f>G56*(1+Assumptions!I61)</f>
        <v>0</v>
      </c>
      <c r="I56" s="33">
        <f>H56*(1+Assumptions!J61)</f>
        <v>0</v>
      </c>
      <c r="J56" s="33">
        <f>I56*(1+Assumptions!K61)</f>
        <v>0</v>
      </c>
      <c r="K56" s="33">
        <f>J56*(1+Assumptions!L61)</f>
        <v>0</v>
      </c>
    </row>
    <row r="57" spans="1:11" ht="12.75">
      <c r="A57" s="47" t="s">
        <v>41</v>
      </c>
      <c r="B57" s="2">
        <f>SUM(B56+B55+B54+B52)</f>
        <v>12140</v>
      </c>
      <c r="C57" s="2">
        <f>SUM(C56+C55+C54+C52)</f>
        <v>16872</v>
      </c>
      <c r="D57" s="2">
        <f>SUM(D56+D55+D54+D52)</f>
        <v>19295</v>
      </c>
      <c r="E57" s="2">
        <f>SUM(E56+E55+E54+E52)</f>
        <v>23377</v>
      </c>
      <c r="F57" s="34">
        <f aca="true" t="shared" si="9" ref="F57:K57">SUM(F56+F55+F54+F52)</f>
        <v>24852.249684960458</v>
      </c>
      <c r="G57" s="34">
        <f t="shared" si="9"/>
        <v>27360.262813096226</v>
      </c>
      <c r="H57" s="34">
        <f t="shared" si="9"/>
        <v>30259.928316890993</v>
      </c>
      <c r="I57" s="34">
        <f t="shared" si="9"/>
        <v>34295.76484450857</v>
      </c>
      <c r="J57" s="34">
        <f t="shared" si="9"/>
        <v>40814.38646207674</v>
      </c>
      <c r="K57" s="34">
        <f t="shared" si="9"/>
        <v>49343.06296986104</v>
      </c>
    </row>
    <row r="58" spans="6:11" ht="12.75">
      <c r="F58" s="33"/>
      <c r="G58" s="33"/>
      <c r="H58" s="33"/>
      <c r="I58" s="33"/>
      <c r="J58" s="33"/>
      <c r="K58" s="33"/>
    </row>
    <row r="59" spans="1:11" ht="13.5" thickBot="1">
      <c r="A59" s="55" t="s">
        <v>82</v>
      </c>
      <c r="B59" s="56">
        <f aca="true" t="shared" si="10" ref="B59:K59">B57+B46</f>
        <v>17504</v>
      </c>
      <c r="C59" s="56">
        <f t="shared" si="10"/>
        <v>23735</v>
      </c>
      <c r="D59" s="56">
        <f t="shared" si="10"/>
        <v>28880</v>
      </c>
      <c r="E59" s="56">
        <f t="shared" si="10"/>
        <v>31471</v>
      </c>
      <c r="F59" s="36">
        <f t="shared" si="10"/>
        <v>33421.33752469113</v>
      </c>
      <c r="G59" s="36">
        <f t="shared" si="10"/>
        <v>36510.70118434686</v>
      </c>
      <c r="H59" s="36">
        <f t="shared" si="10"/>
        <v>39954.15992910027</v>
      </c>
      <c r="I59" s="36">
        <f t="shared" si="10"/>
        <v>44800.416450495824</v>
      </c>
      <c r="J59" s="36">
        <f t="shared" si="10"/>
        <v>52656.08863854417</v>
      </c>
      <c r="K59" s="36">
        <f t="shared" si="10"/>
        <v>62491.60545762281</v>
      </c>
    </row>
    <row r="60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&amp;L&amp;"Arial,Bold"&amp;12Intel Corporation&amp;R&amp;"Arial,Bold"&amp;A</oddHeader>
    <oddFooter>&amp;L&amp;D &amp;T&amp;Cpage &amp;P/&amp;N</oddFooter>
  </headerFooter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workbookViewId="0" topLeftCell="A1">
      <pane ySplit="2" topLeftCell="BM3" activePane="bottomLeft" state="frozen"/>
      <selection pane="topLeft" activeCell="A2" sqref="A2"/>
      <selection pane="bottomLeft" activeCell="G11" sqref="G11"/>
    </sheetView>
  </sheetViews>
  <sheetFormatPr defaultColWidth="9.140625" defaultRowHeight="12.75"/>
  <cols>
    <col min="1" max="1" width="29.28125" style="43" customWidth="1"/>
    <col min="2" max="5" width="10.00390625" style="1" hidden="1" customWidth="1"/>
    <col min="6" max="9" width="10.00390625" style="1" bestFit="1" customWidth="1"/>
    <col min="10" max="10" width="9.57421875" style="1" customWidth="1"/>
    <col min="11" max="11" width="8.8515625" style="1" customWidth="1"/>
    <col min="12" max="16384" width="19.00390625" style="1" customWidth="1"/>
  </cols>
  <sheetData>
    <row r="1" ht="12.75">
      <c r="A1" s="47"/>
    </row>
    <row r="2" spans="1:11" ht="12.75">
      <c r="A2" s="59"/>
      <c r="B2" s="60">
        <v>1995</v>
      </c>
      <c r="C2" s="60">
        <v>1996</v>
      </c>
      <c r="D2" s="60">
        <v>1997</v>
      </c>
      <c r="E2" s="60">
        <v>1998</v>
      </c>
      <c r="F2" s="60">
        <v>1999</v>
      </c>
      <c r="G2" s="60">
        <v>2000</v>
      </c>
      <c r="H2" s="60">
        <v>2001</v>
      </c>
      <c r="I2" s="60">
        <v>2002</v>
      </c>
      <c r="J2" s="60">
        <v>2003</v>
      </c>
      <c r="K2" s="60">
        <v>2004</v>
      </c>
    </row>
    <row r="3" spans="2:11" ht="12.75">
      <c r="B3" s="32"/>
      <c r="C3" s="32"/>
      <c r="D3" s="32"/>
      <c r="E3" s="32"/>
      <c r="F3" s="32"/>
      <c r="G3" s="32"/>
      <c r="H3" s="32"/>
      <c r="I3" s="32"/>
      <c r="J3" s="33"/>
      <c r="K3" s="33"/>
    </row>
    <row r="4" spans="1:11" ht="12.75">
      <c r="A4" s="47" t="s">
        <v>46</v>
      </c>
      <c r="B4" s="32">
        <v>1180</v>
      </c>
      <c r="C4" s="32">
        <v>1463</v>
      </c>
      <c r="D4" s="32">
        <v>4165</v>
      </c>
      <c r="E4" s="32">
        <v>4102</v>
      </c>
      <c r="F4" s="32">
        <f>'Balance Sheet'!E6</f>
        <v>2038</v>
      </c>
      <c r="G4" s="32">
        <f>'Balance Sheet'!F6</f>
        <v>2222.0032018586026</v>
      </c>
      <c r="H4" s="32">
        <f>'Balance Sheet'!G6</f>
        <v>3159.8717731887173</v>
      </c>
      <c r="I4" s="32">
        <f>'Balance Sheet'!H6</f>
        <v>3951.0971956069734</v>
      </c>
      <c r="J4" s="32">
        <f>'Balance Sheet'!I6</f>
        <v>5856.984758629242</v>
      </c>
      <c r="K4" s="32">
        <f>'Balance Sheet'!J6</f>
        <v>10360.359107094013</v>
      </c>
    </row>
    <row r="5" spans="1:11" ht="12.75">
      <c r="A5" s="47"/>
      <c r="B5" s="32"/>
      <c r="C5" s="32"/>
      <c r="D5" s="32"/>
      <c r="E5" s="32"/>
      <c r="F5" s="33"/>
      <c r="G5" s="33"/>
      <c r="H5" s="33"/>
      <c r="I5" s="33"/>
      <c r="J5" s="33"/>
      <c r="K5" s="33"/>
    </row>
    <row r="6" spans="1:11" ht="12.75">
      <c r="A6" s="47" t="s">
        <v>45</v>
      </c>
      <c r="B6" s="33">
        <v>3566</v>
      </c>
      <c r="C6" s="33">
        <v>5157</v>
      </c>
      <c r="D6" s="33">
        <v>6945</v>
      </c>
      <c r="E6" s="33">
        <v>6068</v>
      </c>
      <c r="F6" s="32">
        <f>'Income Statement'!F16</f>
        <v>7278.239739960456</v>
      </c>
      <c r="G6" s="32">
        <f>'Income Statement'!G16</f>
        <v>7708.039727695768</v>
      </c>
      <c r="H6" s="32">
        <f>'Income Statement'!H16</f>
        <v>8099.649012067565</v>
      </c>
      <c r="I6" s="32">
        <f>'Income Statement'!I16</f>
        <v>9235.806694083072</v>
      </c>
      <c r="J6" s="32">
        <f>'Income Statement'!J16</f>
        <v>11718.638340921683</v>
      </c>
      <c r="K6" s="32">
        <f>'Income Statement'!K16</f>
        <v>13728.666523942262</v>
      </c>
    </row>
    <row r="7" spans="1:11" ht="12.75">
      <c r="A7" s="45" t="s">
        <v>90</v>
      </c>
      <c r="B7" s="33"/>
      <c r="C7" s="33"/>
      <c r="D7" s="33"/>
      <c r="E7" s="33"/>
      <c r="F7" s="33">
        <f>('Balance Sheet'!F22-'Balance Sheet'!E22)*-1</f>
        <v>1592.7680000000018</v>
      </c>
      <c r="G7" s="33">
        <f>('Balance Sheet'!G22-'Balance Sheet'!F22)*-1</f>
        <v>1326.212160000001</v>
      </c>
      <c r="H7" s="33">
        <f>('Balance Sheet'!H22-'Balance Sheet'!G22)*-1</f>
        <v>1485.3576192000019</v>
      </c>
      <c r="I7" s="33">
        <f>('Balance Sheet'!I22-'Balance Sheet'!H22)*-1</f>
        <v>1663.6005335040009</v>
      </c>
      <c r="J7" s="33">
        <f>('Balance Sheet'!J22-'Balance Sheet'!I22)*-1</f>
        <v>1863.2325975244821</v>
      </c>
      <c r="K7" s="33">
        <f>('Balance Sheet'!K22-'Balance Sheet'!J22)*-1</f>
        <v>2086.820509227422</v>
      </c>
    </row>
    <row r="8" ht="12.75">
      <c r="A8" s="1" t="s">
        <v>91</v>
      </c>
    </row>
    <row r="9" spans="1:11" ht="12.75">
      <c r="A9" s="43" t="s">
        <v>76</v>
      </c>
      <c r="B9" s="33"/>
      <c r="C9" s="33"/>
      <c r="D9" s="33"/>
      <c r="E9" s="33"/>
      <c r="F9" s="33">
        <f>'Balance Sheet'!E7-'Balance Sheet'!F7</f>
        <v>316.3200000000006</v>
      </c>
      <c r="G9" s="33">
        <f>'Balance Sheet'!F7-'Balance Sheet'!G7</f>
        <v>198.22720000000027</v>
      </c>
      <c r="H9" s="33">
        <f>'Balance Sheet'!G7-'Balance Sheet'!H7</f>
        <v>0</v>
      </c>
      <c r="I9" s="33">
        <f>'Balance Sheet'!H7-'Balance Sheet'!I7</f>
        <v>0</v>
      </c>
      <c r="J9" s="33">
        <f>'Balance Sheet'!I7-'Balance Sheet'!J7</f>
        <v>0</v>
      </c>
      <c r="K9" s="33">
        <f>'Balance Sheet'!J7-'Balance Sheet'!K7</f>
        <v>0</v>
      </c>
    </row>
    <row r="10" spans="1:11" ht="12.75">
      <c r="A10" s="43" t="s">
        <v>12</v>
      </c>
      <c r="B10" s="33"/>
      <c r="C10" s="33"/>
      <c r="D10" s="33"/>
      <c r="E10" s="33"/>
      <c r="F10" s="33">
        <f>'Balance Sheet'!E8-'Balance Sheet'!F8</f>
        <v>0</v>
      </c>
      <c r="G10" s="33">
        <f>'Balance Sheet'!F8-'Balance Sheet'!G8</f>
        <v>0</v>
      </c>
      <c r="H10" s="33">
        <f>'Balance Sheet'!G8-'Balance Sheet'!H8</f>
        <v>0</v>
      </c>
      <c r="I10" s="33">
        <f>'Balance Sheet'!H8-'Balance Sheet'!I8</f>
        <v>0</v>
      </c>
      <c r="J10" s="33">
        <f>'Balance Sheet'!I8-'Balance Sheet'!J8</f>
        <v>0</v>
      </c>
      <c r="K10" s="33">
        <f>'Balance Sheet'!J8-'Balance Sheet'!K8</f>
        <v>0</v>
      </c>
    </row>
    <row r="11" spans="1:11" ht="12.75">
      <c r="A11" s="43" t="s">
        <v>17</v>
      </c>
      <c r="B11" s="33"/>
      <c r="C11" s="33"/>
      <c r="D11" s="33"/>
      <c r="E11" s="33"/>
      <c r="F11" s="33">
        <f>'Balance Sheet'!E12-'Balance Sheet'!F12</f>
        <v>-479.1187736817369</v>
      </c>
      <c r="G11" s="33">
        <f>'Balance Sheet'!F12-'Balance Sheet'!G12</f>
        <v>-547.2523228692476</v>
      </c>
      <c r="H11" s="33">
        <f>'Balance Sheet'!G12-'Balance Sheet'!H12</f>
        <v>-622.0092439204309</v>
      </c>
      <c r="I11" s="33">
        <f>'Balance Sheet'!H12-'Balance Sheet'!I12</f>
        <v>-706.97826825836</v>
      </c>
      <c r="J11" s="33">
        <f>'Balance Sheet'!I12-'Balance Sheet'!J12</f>
        <v>-803.554411248474</v>
      </c>
      <c r="K11" s="33">
        <f>'Balance Sheet'!J12-'Balance Sheet'!K12</f>
        <v>-913.3232531002141</v>
      </c>
    </row>
    <row r="12" spans="1:11" ht="12.75">
      <c r="A12" s="43" t="s">
        <v>1</v>
      </c>
      <c r="B12" s="33"/>
      <c r="C12" s="33"/>
      <c r="D12" s="33"/>
      <c r="E12" s="33"/>
      <c r="F12" s="33">
        <f>'Balance Sheet'!E13-'Balance Sheet'!F13</f>
        <v>-56.73424051383404</v>
      </c>
      <c r="G12" s="33">
        <f>'Balance Sheet'!F13-'Balance Sheet'!G13</f>
        <v>-196.64810886166015</v>
      </c>
      <c r="H12" s="33">
        <f>'Balance Sheet'!G13-'Balance Sheet'!H13</f>
        <v>-241.22168020363665</v>
      </c>
      <c r="I12" s="33">
        <f>'Balance Sheet'!H13-'Balance Sheet'!I13</f>
        <v>-155.74530221843497</v>
      </c>
      <c r="J12" s="33">
        <f>'Balance Sheet'!I13-'Balance Sheet'!J13</f>
        <v>-93.44718133106153</v>
      </c>
      <c r="K12" s="33">
        <f>'Balance Sheet'!J13-'Balance Sheet'!K13</f>
        <v>-213.9732792078339</v>
      </c>
    </row>
    <row r="13" spans="1:11" ht="12.75">
      <c r="A13" s="43" t="s">
        <v>13</v>
      </c>
      <c r="B13" s="33"/>
      <c r="C13" s="33"/>
      <c r="D13" s="33"/>
      <c r="E13" s="33"/>
      <c r="F13" s="33">
        <f>'Balance Sheet'!E14-'Balance Sheet'!F14</f>
        <v>-153.72130863695702</v>
      </c>
      <c r="G13" s="33">
        <f>'Balance Sheet'!F14-'Balance Sheet'!G14</f>
        <v>-45.57225659470316</v>
      </c>
      <c r="H13" s="33">
        <f>'Balance Sheet'!G14-'Balance Sheet'!H14</f>
        <v>-41.52284621108504</v>
      </c>
      <c r="I13" s="33">
        <f>'Balance Sheet'!H14-'Balance Sheet'!I14</f>
        <v>-120.46828965649081</v>
      </c>
      <c r="J13" s="33">
        <f>'Balance Sheet'!I14-'Balance Sheet'!J14</f>
        <v>-263.25789697523135</v>
      </c>
      <c r="K13" s="33">
        <f>'Balance Sheet'!J14-'Balance Sheet'!K14</f>
        <v>-213.12592539116235</v>
      </c>
    </row>
    <row r="14" spans="1:11" ht="12.75">
      <c r="A14" s="45" t="s">
        <v>14</v>
      </c>
      <c r="B14" s="33"/>
      <c r="C14" s="33"/>
      <c r="D14" s="33"/>
      <c r="E14" s="33"/>
      <c r="F14" s="33">
        <f>'Balance Sheet'!E15-'Balance Sheet'!F15</f>
        <v>0</v>
      </c>
      <c r="G14" s="33">
        <f>'Balance Sheet'!F15-'Balance Sheet'!G15</f>
        <v>0</v>
      </c>
      <c r="H14" s="33">
        <f>'Balance Sheet'!G15-'Balance Sheet'!H15</f>
        <v>0</v>
      </c>
      <c r="I14" s="33">
        <f>'Balance Sheet'!H15-'Balance Sheet'!I15</f>
        <v>0</v>
      </c>
      <c r="J14" s="33">
        <f>'Balance Sheet'!I15-'Balance Sheet'!J15</f>
        <v>0</v>
      </c>
      <c r="K14" s="33">
        <f>'Balance Sheet'!J15-'Balance Sheet'!K15</f>
        <v>0</v>
      </c>
    </row>
    <row r="15" spans="1:11" ht="12.75">
      <c r="A15" s="45" t="s">
        <v>5</v>
      </c>
      <c r="B15" s="33"/>
      <c r="C15" s="33"/>
      <c r="D15" s="33"/>
      <c r="E15" s="33"/>
      <c r="F15" s="33">
        <f>'Balance Sheet'!F35-'Balance Sheet'!E35</f>
        <v>203.48875568434096</v>
      </c>
      <c r="G15" s="33">
        <f>'Balance Sheet'!G35-'Balance Sheet'!F35</f>
        <v>173.69865068212107</v>
      </c>
      <c r="H15" s="33">
        <f>'Balance Sheet'!H35-'Balance Sheet'!G35</f>
        <v>213.0703448367351</v>
      </c>
      <c r="I15" s="33">
        <f>'Balance Sheet'!I35-'Balance Sheet'!H35</f>
        <v>137.56933134024007</v>
      </c>
      <c r="J15" s="33">
        <f>'Balance Sheet'!J35-'Balance Sheet'!I35</f>
        <v>82.54159880414431</v>
      </c>
      <c r="K15" s="33">
        <f>'Balance Sheet'!K35-'Balance Sheet'!J35</f>
        <v>189.0019186839777</v>
      </c>
    </row>
    <row r="16" spans="1:11" ht="12.75">
      <c r="A16" s="43" t="s">
        <v>26</v>
      </c>
      <c r="B16" s="33"/>
      <c r="C16" s="33"/>
      <c r="D16" s="33"/>
      <c r="E16" s="33"/>
      <c r="F16" s="33">
        <f>'Balance Sheet'!F36-'Balance Sheet'!E36</f>
        <v>0</v>
      </c>
      <c r="G16" s="33">
        <f>'Balance Sheet'!G36-'Balance Sheet'!F36</f>
        <v>0</v>
      </c>
      <c r="H16" s="33">
        <f>'Balance Sheet'!H36-'Balance Sheet'!G36</f>
        <v>0</v>
      </c>
      <c r="I16" s="33">
        <f>'Balance Sheet'!I36-'Balance Sheet'!H36</f>
        <v>0</v>
      </c>
      <c r="J16" s="33">
        <f>'Balance Sheet'!J36-'Balance Sheet'!I36</f>
        <v>0</v>
      </c>
      <c r="K16" s="33">
        <f>'Balance Sheet'!K36-'Balance Sheet'!J36</f>
        <v>0</v>
      </c>
    </row>
    <row r="17" spans="1:11" ht="25.5">
      <c r="A17" s="43" t="s">
        <v>27</v>
      </c>
      <c r="B17" s="33"/>
      <c r="C17" s="33"/>
      <c r="D17" s="33"/>
      <c r="E17" s="33"/>
      <c r="F17" s="33">
        <f>'Balance Sheet'!F37-'Balance Sheet'!E37</f>
        <v>31.572174338118998</v>
      </c>
      <c r="G17" s="33">
        <f>'Balance Sheet'!G37-'Balance Sheet'!F37</f>
        <v>76.50866092057436</v>
      </c>
      <c r="H17" s="33">
        <f>'Balance Sheet'!H37-'Balance Sheet'!G37</f>
        <v>57.126466820695555</v>
      </c>
      <c r="I17" s="33">
        <f>'Balance Sheet'!I37-'Balance Sheet'!H37</f>
        <v>77.12073020793889</v>
      </c>
      <c r="J17" s="33">
        <f>'Balance Sheet'!J37-'Balance Sheet'!I37</f>
        <v>101.79936387447947</v>
      </c>
      <c r="K17" s="33">
        <f>'Balance Sheet'!K37-'Balance Sheet'!J37</f>
        <v>114.01528753941705</v>
      </c>
    </row>
    <row r="18" spans="1:11" ht="12.75">
      <c r="A18" s="43" t="s">
        <v>28</v>
      </c>
      <c r="B18" s="33"/>
      <c r="C18" s="33"/>
      <c r="D18" s="33"/>
      <c r="E18" s="33"/>
      <c r="F18" s="33">
        <f>'Balance Sheet'!F38-'Balance Sheet'!E38</f>
        <v>69.88073351576452</v>
      </c>
      <c r="G18" s="33">
        <f>'Balance Sheet'!G38-'Balance Sheet'!F38</f>
        <v>63.34568802189176</v>
      </c>
      <c r="H18" s="33">
        <f>'Balance Sheet'!H38-'Balance Sheet'!G38</f>
        <v>47.29811372301265</v>
      </c>
      <c r="I18" s="33">
        <f>'Balance Sheet'!I38-'Balance Sheet'!H38</f>
        <v>63.85245352606694</v>
      </c>
      <c r="J18" s="33">
        <f>'Balance Sheet'!J38-'Balance Sheet'!I38</f>
        <v>84.28523865440832</v>
      </c>
      <c r="K18" s="33">
        <f>'Balance Sheet'!K38-'Balance Sheet'!J38</f>
        <v>94.3994672929374</v>
      </c>
    </row>
    <row r="19" spans="1:11" ht="12.75">
      <c r="A19" s="43" t="s">
        <v>29</v>
      </c>
      <c r="B19" s="33"/>
      <c r="C19" s="33"/>
      <c r="D19" s="33"/>
      <c r="E19" s="33"/>
      <c r="F19" s="33">
        <f>'Balance Sheet'!F39-'Balance Sheet'!E39</f>
        <v>-197.03489711576412</v>
      </c>
      <c r="G19" s="33">
        <f>'Balance Sheet'!G39-'Balance Sheet'!F39</f>
        <v>107.63581234610831</v>
      </c>
      <c r="H19" s="33">
        <f>'Balance Sheet'!H39-'Balance Sheet'!G39</f>
        <v>80.36807321842764</v>
      </c>
      <c r="I19" s="33">
        <f>'Balance Sheet'!I39-'Balance Sheet'!H39</f>
        <v>108.49689884487725</v>
      </c>
      <c r="J19" s="33">
        <f>'Balance Sheet'!J39-'Balance Sheet'!I39</f>
        <v>143.21590647523817</v>
      </c>
      <c r="K19" s="33">
        <f>'Balance Sheet'!K39-'Balance Sheet'!J39</f>
        <v>160.4018152522665</v>
      </c>
    </row>
    <row r="20" spans="1:11" ht="12.75">
      <c r="A20" s="45" t="s">
        <v>30</v>
      </c>
      <c r="B20" s="33"/>
      <c r="C20" s="33"/>
      <c r="D20" s="33"/>
      <c r="E20" s="33"/>
      <c r="F20" s="33">
        <f>'Balance Sheet'!F40-'Balance Sheet'!E40</f>
        <v>387.05412534394713</v>
      </c>
      <c r="G20" s="33">
        <f>'Balance Sheet'!G40-'Balance Sheet'!F40</f>
        <v>79.42912946411138</v>
      </c>
      <c r="H20" s="33">
        <f>'Balance Sheet'!H40-'Balance Sheet'!G40</f>
        <v>72.37130161779169</v>
      </c>
      <c r="I20" s="33">
        <f>'Balance Sheet'!I40-'Balance Sheet'!H40</f>
        <v>209.9674690359234</v>
      </c>
      <c r="J20" s="33">
        <f>'Balance Sheet'!J40-'Balance Sheet'!I40</f>
        <v>458.83937166556234</v>
      </c>
      <c r="K20" s="33">
        <f>'Balance Sheet'!K40-'Balance Sheet'!J40</f>
        <v>371.46299053404255</v>
      </c>
    </row>
    <row r="21" spans="1:11" ht="12.75">
      <c r="A21" s="57" t="s">
        <v>84</v>
      </c>
      <c r="B21" s="34">
        <f aca="true" t="shared" si="0" ref="B21:K21">SUM(B6:B20)</f>
        <v>3566</v>
      </c>
      <c r="C21" s="34">
        <f t="shared" si="0"/>
        <v>5157</v>
      </c>
      <c r="D21" s="34">
        <f t="shared" si="0"/>
        <v>6945</v>
      </c>
      <c r="E21" s="34">
        <f t="shared" si="0"/>
        <v>6068</v>
      </c>
      <c r="F21" s="34">
        <f t="shared" si="0"/>
        <v>8992.71430889434</v>
      </c>
      <c r="G21" s="34">
        <f t="shared" si="0"/>
        <v>8943.624340804965</v>
      </c>
      <c r="H21" s="34">
        <f t="shared" si="0"/>
        <v>9150.487161149076</v>
      </c>
      <c r="I21" s="34">
        <f t="shared" si="0"/>
        <v>10513.222250408839</v>
      </c>
      <c r="J21" s="34">
        <f t="shared" si="0"/>
        <v>13292.29292836523</v>
      </c>
      <c r="K21" s="34">
        <f t="shared" si="0"/>
        <v>15404.346054773114</v>
      </c>
    </row>
    <row r="22" spans="1:11" ht="12.75">
      <c r="A22" s="47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2.75">
      <c r="A23" s="43" t="s">
        <v>55</v>
      </c>
      <c r="B23" s="32"/>
      <c r="C23" s="32"/>
      <c r="D23" s="32"/>
      <c r="E23" s="32"/>
      <c r="F23" s="33">
        <f>('Balance Sheet'!F18+'Balance Sheet'!F21-'Balance Sheet'!E18-'Balance Sheet'!E21)*-1</f>
        <v>-2985.8480000000054</v>
      </c>
      <c r="G23" s="33">
        <f>('Balance Sheet'!G18+'Balance Sheet'!G21-'Balance Sheet'!F18-'Balance Sheet'!F21)*-1</f>
        <v>-2886.4617599999974</v>
      </c>
      <c r="H23" s="33">
        <f>('Balance Sheet'!H18+'Balance Sheet'!H21-'Balance Sheet'!G18-'Balance Sheet'!G21)*-1</f>
        <v>-3232.8371712000044</v>
      </c>
      <c r="I23" s="33">
        <f>('Balance Sheet'!I18+'Balance Sheet'!I21-'Balance Sheet'!H18-'Balance Sheet'!H21)*-1</f>
        <v>-3620.777631744005</v>
      </c>
      <c r="J23" s="33">
        <f>('Balance Sheet'!J18+'Balance Sheet'!J21-'Balance Sheet'!I18-'Balance Sheet'!I21)*-1</f>
        <v>-4055.270947553291</v>
      </c>
      <c r="K23" s="33">
        <f>('Balance Sheet'!K18+'Balance Sheet'!K21-'Balance Sheet'!J18-'Balance Sheet'!J21)*-1</f>
        <v>-4541.903461259682</v>
      </c>
    </row>
    <row r="24" spans="1:11" ht="12.75">
      <c r="A24" s="43" t="s">
        <v>22</v>
      </c>
      <c r="B24" s="32"/>
      <c r="C24" s="32"/>
      <c r="D24" s="32"/>
      <c r="E24" s="32"/>
      <c r="F24" s="33">
        <f>'Balance Sheet'!E25-'Balance Sheet'!F25</f>
        <v>0</v>
      </c>
      <c r="G24" s="33">
        <f>'Balance Sheet'!F25-'Balance Sheet'!G25</f>
        <v>0</v>
      </c>
      <c r="H24" s="33">
        <f>'Balance Sheet'!G25-'Balance Sheet'!H25</f>
        <v>0</v>
      </c>
      <c r="I24" s="33">
        <f>'Balance Sheet'!H25-'Balance Sheet'!I25</f>
        <v>0</v>
      </c>
      <c r="J24" s="33">
        <f>'Balance Sheet'!I25-'Balance Sheet'!J25</f>
        <v>0</v>
      </c>
      <c r="K24" s="33">
        <f>'Balance Sheet'!J25-'Balance Sheet'!K25</f>
        <v>0</v>
      </c>
    </row>
    <row r="25" spans="1:11" ht="12.75">
      <c r="A25" s="45" t="s">
        <v>23</v>
      </c>
      <c r="B25" s="32"/>
      <c r="C25" s="32"/>
      <c r="D25" s="32"/>
      <c r="E25" s="32"/>
      <c r="F25" s="33">
        <f>'Balance Sheet'!E26-'Balance Sheet'!F26</f>
        <v>0</v>
      </c>
      <c r="G25" s="33">
        <f>'Balance Sheet'!F26-'Balance Sheet'!G26</f>
        <v>0</v>
      </c>
      <c r="H25" s="33">
        <f>'Balance Sheet'!G26-'Balance Sheet'!H26</f>
        <v>0</v>
      </c>
      <c r="I25" s="33">
        <f>'Balance Sheet'!H26-'Balance Sheet'!I26</f>
        <v>0</v>
      </c>
      <c r="J25" s="33">
        <f>'Balance Sheet'!I26-'Balance Sheet'!J26</f>
        <v>0</v>
      </c>
      <c r="K25" s="33">
        <f>'Balance Sheet'!J26-'Balance Sheet'!K26</f>
        <v>0</v>
      </c>
    </row>
    <row r="26" spans="1:11" ht="12.75">
      <c r="A26" s="57" t="s">
        <v>83</v>
      </c>
      <c r="B26" s="34">
        <v>-2687</v>
      </c>
      <c r="C26" s="34">
        <v>-5268</v>
      </c>
      <c r="D26" s="34">
        <v>-6859</v>
      </c>
      <c r="E26" s="34">
        <v>-6506</v>
      </c>
      <c r="F26" s="34">
        <f aca="true" t="shared" si="1" ref="F26:K26">SUM(F23:F25)</f>
        <v>-2985.8480000000054</v>
      </c>
      <c r="G26" s="34">
        <f t="shared" si="1"/>
        <v>-2886.4617599999974</v>
      </c>
      <c r="H26" s="34">
        <f t="shared" si="1"/>
        <v>-3232.8371712000044</v>
      </c>
      <c r="I26" s="34">
        <f t="shared" si="1"/>
        <v>-3620.777631744005</v>
      </c>
      <c r="J26" s="34">
        <f t="shared" si="1"/>
        <v>-4055.270947553291</v>
      </c>
      <c r="K26" s="34">
        <f t="shared" si="1"/>
        <v>-4541.903461259682</v>
      </c>
    </row>
    <row r="27" spans="1:11" ht="12.75">
      <c r="A27" s="47"/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2.75">
      <c r="A28" s="43" t="s">
        <v>78</v>
      </c>
      <c r="B28" s="32"/>
      <c r="C28" s="32"/>
      <c r="D28" s="32"/>
      <c r="E28" s="32"/>
      <c r="F28" s="33">
        <f>'Balance Sheet'!F33-'Balance Sheet'!E33</f>
        <v>0</v>
      </c>
      <c r="G28" s="33">
        <f>'Balance Sheet'!G33-'Balance Sheet'!F33</f>
        <v>0</v>
      </c>
      <c r="H28" s="33">
        <f>'Balance Sheet'!H33-'Balance Sheet'!G33</f>
        <v>0</v>
      </c>
      <c r="I28" s="33">
        <f>'Balance Sheet'!I33-'Balance Sheet'!H33</f>
        <v>0</v>
      </c>
      <c r="J28" s="33">
        <f>'Balance Sheet'!J33-'Balance Sheet'!I33</f>
        <v>0</v>
      </c>
      <c r="K28" s="33">
        <f>'Balance Sheet'!K33-'Balance Sheet'!J33</f>
        <v>0</v>
      </c>
    </row>
    <row r="29" spans="1:11" ht="12.75">
      <c r="A29" s="43" t="s">
        <v>25</v>
      </c>
      <c r="B29" s="32"/>
      <c r="C29" s="32"/>
      <c r="D29" s="32"/>
      <c r="E29" s="32"/>
      <c r="F29" s="33">
        <f>'Balance Sheet'!F34-'Balance Sheet'!E34</f>
        <v>0</v>
      </c>
      <c r="G29" s="33">
        <f>'Balance Sheet'!G34-'Balance Sheet'!F34</f>
        <v>0</v>
      </c>
      <c r="H29" s="33">
        <f>'Balance Sheet'!H34-'Balance Sheet'!G34</f>
        <v>0</v>
      </c>
      <c r="I29" s="33">
        <f>'Balance Sheet'!I34-'Balance Sheet'!H34</f>
        <v>0</v>
      </c>
      <c r="J29" s="33">
        <f>'Balance Sheet'!J34-'Balance Sheet'!I34</f>
        <v>0</v>
      </c>
      <c r="K29" s="33">
        <f>'Balance Sheet'!K34-'Balance Sheet'!J34</f>
        <v>0</v>
      </c>
    </row>
    <row r="30" spans="1:11" ht="12.75">
      <c r="A30" s="43" t="s">
        <v>85</v>
      </c>
      <c r="B30" s="32"/>
      <c r="C30" s="32"/>
      <c r="D30" s="32"/>
      <c r="E30" s="32"/>
      <c r="F30" s="33">
        <f>'Balance Sheet'!F43-'Balance Sheet'!E43</f>
        <v>0</v>
      </c>
      <c r="G30" s="33">
        <f>'Balance Sheet'!G43-'Balance Sheet'!F43</f>
        <v>0</v>
      </c>
      <c r="H30" s="33">
        <f>'Balance Sheet'!H43-'Balance Sheet'!G43</f>
        <v>0</v>
      </c>
      <c r="I30" s="33">
        <f>'Balance Sheet'!I43-'Balance Sheet'!H43</f>
        <v>0</v>
      </c>
      <c r="J30" s="33">
        <f>'Balance Sheet'!J43-'Balance Sheet'!I43</f>
        <v>0</v>
      </c>
      <c r="K30" s="33">
        <f>'Balance Sheet'!K43-'Balance Sheet'!J43</f>
        <v>0</v>
      </c>
    </row>
    <row r="31" spans="1:11" ht="12.75">
      <c r="A31" s="43" t="s">
        <v>32</v>
      </c>
      <c r="B31" s="32"/>
      <c r="C31" s="32"/>
      <c r="D31" s="32"/>
      <c r="E31" s="32"/>
      <c r="F31" s="33">
        <f>'Balance Sheet'!F44-'Balance Sheet'!E44</f>
        <v>-19.873052035729643</v>
      </c>
      <c r="G31" s="33">
        <f>'Balance Sheet'!G44-'Balance Sheet'!F44</f>
        <v>80.73259008514765</v>
      </c>
      <c r="H31" s="33">
        <f>'Balance Sheet'!H44-'Balance Sheet'!G44</f>
        <v>73.55894074198159</v>
      </c>
      <c r="I31" s="33">
        <f>'Balance Sheet'!I44-'Balance Sheet'!H44</f>
        <v>213.41311082292805</v>
      </c>
      <c r="J31" s="33">
        <f>'Balance Sheet'!J44-'Balance Sheet'!I44</f>
        <v>466.36909100633966</v>
      </c>
      <c r="K31" s="33">
        <f>'Balance Sheet'!K44-'Balance Sheet'!J44</f>
        <v>377.55883199170603</v>
      </c>
    </row>
    <row r="32" spans="1:11" ht="12.75">
      <c r="A32" s="43" t="s">
        <v>33</v>
      </c>
      <c r="B32" s="32"/>
      <c r="C32" s="32"/>
      <c r="D32" s="32"/>
      <c r="E32" s="32"/>
      <c r="F32" s="33">
        <f>'Balance Sheet'!F45-'Balance Sheet'!E45</f>
        <v>0</v>
      </c>
      <c r="G32" s="33">
        <f>'Balance Sheet'!G45-'Balance Sheet'!F45</f>
        <v>0</v>
      </c>
      <c r="H32" s="33">
        <f>'Balance Sheet'!H45-'Balance Sheet'!G45</f>
        <v>0</v>
      </c>
      <c r="I32" s="33">
        <f>'Balance Sheet'!I45-'Balance Sheet'!H45</f>
        <v>0</v>
      </c>
      <c r="J32" s="33">
        <f>'Balance Sheet'!J45-'Balance Sheet'!I45</f>
        <v>0</v>
      </c>
      <c r="K32" s="33">
        <f>'Balance Sheet'!K45-'Balance Sheet'!J45</f>
        <v>0</v>
      </c>
    </row>
    <row r="33" spans="1:11" ht="12.75">
      <c r="A33" s="43" t="s">
        <v>86</v>
      </c>
      <c r="B33" s="32"/>
      <c r="C33" s="32"/>
      <c r="D33" s="32"/>
      <c r="E33" s="32"/>
      <c r="F33" s="33">
        <f>'Balance Sheet'!F56-'Balance Sheet'!E56</f>
        <v>-603</v>
      </c>
      <c r="G33" s="33">
        <f>'Balance Sheet'!G56-'Balance Sheet'!F56</f>
        <v>0</v>
      </c>
      <c r="H33" s="33">
        <f>'Balance Sheet'!H56-'Balance Sheet'!G56</f>
        <v>0</v>
      </c>
      <c r="I33" s="33">
        <f>'Balance Sheet'!I56-'Balance Sheet'!H56</f>
        <v>0</v>
      </c>
      <c r="J33" s="33">
        <f>'Balance Sheet'!J56-'Balance Sheet'!I56</f>
        <v>0</v>
      </c>
      <c r="K33" s="33">
        <f>'Balance Sheet'!K56-'Balance Sheet'!J56</f>
        <v>0</v>
      </c>
    </row>
    <row r="34" spans="1:11" ht="12.75">
      <c r="A34" s="43" t="s">
        <v>87</v>
      </c>
      <c r="B34" s="32"/>
      <c r="C34" s="32"/>
      <c r="D34" s="32"/>
      <c r="E34" s="32"/>
      <c r="F34" s="33">
        <v>-5000</v>
      </c>
      <c r="G34" s="33">
        <f aca="true" t="shared" si="2" ref="G34:K35">F34</f>
        <v>-5000</v>
      </c>
      <c r="H34" s="33">
        <f t="shared" si="2"/>
        <v>-5000</v>
      </c>
      <c r="I34" s="33">
        <f t="shared" si="2"/>
        <v>-5000</v>
      </c>
      <c r="J34" s="33">
        <f t="shared" si="2"/>
        <v>-5000</v>
      </c>
      <c r="K34" s="33">
        <f t="shared" si="2"/>
        <v>-5000</v>
      </c>
    </row>
    <row r="35" spans="1:11" ht="12.75">
      <c r="A35" s="43" t="s">
        <v>88</v>
      </c>
      <c r="B35" s="32"/>
      <c r="C35" s="32"/>
      <c r="D35" s="32"/>
      <c r="E35" s="32"/>
      <c r="F35" s="33">
        <v>-200</v>
      </c>
      <c r="G35" s="33">
        <f t="shared" si="2"/>
        <v>-200</v>
      </c>
      <c r="H35" s="33">
        <f t="shared" si="2"/>
        <v>-200</v>
      </c>
      <c r="I35" s="33">
        <f t="shared" si="2"/>
        <v>-200</v>
      </c>
      <c r="J35" s="33">
        <f t="shared" si="2"/>
        <v>-200</v>
      </c>
      <c r="K35" s="33">
        <f t="shared" si="2"/>
        <v>-200</v>
      </c>
    </row>
    <row r="36" spans="1:11" ht="12.75">
      <c r="A36" s="57" t="s">
        <v>89</v>
      </c>
      <c r="B36" s="34">
        <v>-1056</v>
      </c>
      <c r="C36" s="34">
        <v>-773</v>
      </c>
      <c r="D36" s="34">
        <v>-3212</v>
      </c>
      <c r="E36" s="34">
        <v>-4749</v>
      </c>
      <c r="F36" s="35">
        <f aca="true" t="shared" si="3" ref="F36:K36">SUM(F28:F35)</f>
        <v>-5822.873052035729</v>
      </c>
      <c r="G36" s="35">
        <f t="shared" si="3"/>
        <v>-5119.267409914853</v>
      </c>
      <c r="H36" s="35">
        <f t="shared" si="3"/>
        <v>-5126.441059258019</v>
      </c>
      <c r="I36" s="35">
        <f t="shared" si="3"/>
        <v>-4986.5868891770715</v>
      </c>
      <c r="J36" s="35">
        <f t="shared" si="3"/>
        <v>-4733.63090899366</v>
      </c>
      <c r="K36" s="35">
        <f t="shared" si="3"/>
        <v>-4822.441168008294</v>
      </c>
    </row>
    <row r="37" spans="1:11" ht="12.75">
      <c r="A37" s="47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ht="12.75">
      <c r="A38" s="47" t="s">
        <v>70</v>
      </c>
      <c r="B38" s="33">
        <f aca="true" t="shared" si="4" ref="B38:K38">B21+B26+B36</f>
        <v>-177</v>
      </c>
      <c r="C38" s="33">
        <f t="shared" si="4"/>
        <v>-884</v>
      </c>
      <c r="D38" s="33">
        <f t="shared" si="4"/>
        <v>-3126</v>
      </c>
      <c r="E38" s="33">
        <f t="shared" si="4"/>
        <v>-5187</v>
      </c>
      <c r="F38" s="32">
        <f t="shared" si="4"/>
        <v>183.99325685860458</v>
      </c>
      <c r="G38" s="32">
        <f t="shared" si="4"/>
        <v>937.895170890115</v>
      </c>
      <c r="H38" s="32">
        <f t="shared" si="4"/>
        <v>791.208930691053</v>
      </c>
      <c r="I38" s="32">
        <f t="shared" si="4"/>
        <v>1905.8577294877623</v>
      </c>
      <c r="J38" s="32">
        <f t="shared" si="4"/>
        <v>4503.39107181828</v>
      </c>
      <c r="K38" s="32">
        <f t="shared" si="4"/>
        <v>6040.001425505137</v>
      </c>
    </row>
    <row r="39" spans="1:11" ht="12.75">
      <c r="A39" s="47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13.5" thickBot="1">
      <c r="A40" s="55" t="s">
        <v>47</v>
      </c>
      <c r="B40" s="36">
        <f>B4+B21+B26+B36</f>
        <v>1003</v>
      </c>
      <c r="C40" s="36">
        <f>C4+C21+C26+C36</f>
        <v>579</v>
      </c>
      <c r="D40" s="36">
        <f>D4+D21+D26+D36</f>
        <v>1039</v>
      </c>
      <c r="E40" s="36">
        <f>E4+E21+E26+E36</f>
        <v>-1085</v>
      </c>
      <c r="F40" s="36">
        <f aca="true" t="shared" si="5" ref="F40:K40">F4+F38</f>
        <v>2221.9932568586046</v>
      </c>
      <c r="G40" s="36">
        <f t="shared" si="5"/>
        <v>3159.8983727487175</v>
      </c>
      <c r="H40" s="36">
        <f t="shared" si="5"/>
        <v>3951.08070387977</v>
      </c>
      <c r="I40" s="36">
        <f t="shared" si="5"/>
        <v>5856.954925094736</v>
      </c>
      <c r="J40" s="36">
        <f t="shared" si="5"/>
        <v>10360.375830447521</v>
      </c>
      <c r="K40" s="36">
        <f t="shared" si="5"/>
        <v>16400.360532599152</v>
      </c>
    </row>
    <row r="41" ht="13.5" thickTop="1"/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&amp;L&amp;"Arial,Bold"&amp;12Intel Corporation&amp;R&amp;"Arial,Bold"&amp;A</oddHeader>
    <oddFooter>&amp;L&amp;D &amp;T&amp;Cpage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 Koch</cp:lastModifiedBy>
  <cp:lastPrinted>1999-10-01T14:36:48Z</cp:lastPrinted>
  <dcterms:created xsi:type="dcterms:W3CDTF">1999-03-31T22:00:46Z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